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'Лист1'!$A$1:$O$239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N9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рент деят-ти (чистая прибіль:чистій доход)
</t>
        </r>
      </text>
    </comment>
    <comment ref="N9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рент-ть активов -  прибіль до налогообложения : на сумму активов
</t>
        </r>
      </text>
    </comment>
    <comment ref="M9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рент деят-ти (чистая прибіль:чистій доход)
</t>
        </r>
      </text>
    </comment>
    <comment ref="M9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рент-ть активов -  прибіль до налогообложения : на сумму активов
</t>
        </r>
      </text>
    </comment>
  </commentList>
</comments>
</file>

<file path=xl/sharedStrings.xml><?xml version="1.0" encoding="utf-8"?>
<sst xmlns="http://schemas.openxmlformats.org/spreadsheetml/2006/main" count="516" uniqueCount="82">
  <si>
    <t xml:space="preserve"> </t>
  </si>
  <si>
    <t>Додаток 2</t>
  </si>
  <si>
    <t>№ з/п</t>
  </si>
  <si>
    <t>Показники</t>
  </si>
  <si>
    <t>КП "Житлосервіс "Добробут"</t>
  </si>
  <si>
    <t xml:space="preserve"> відх.,%</t>
  </si>
  <si>
    <t> тис. грн.</t>
  </si>
  <si>
    <t>Чистий:</t>
  </si>
  <si>
    <t>прибуток</t>
  </si>
  <si>
    <t>збиток</t>
  </si>
  <si>
    <t>Основні засоби:</t>
  </si>
  <si>
    <t>залишкова вартість</t>
  </si>
  <si>
    <t>тис. грн.</t>
  </si>
  <si>
    <t>первісна вартість</t>
  </si>
  <si>
    <t>знос</t>
  </si>
  <si>
    <t>Витрати  підприємства:</t>
  </si>
  <si>
    <t xml:space="preserve"> матеріальні витрати</t>
  </si>
  <si>
    <t xml:space="preserve"> витрати на оплату праці</t>
  </si>
  <si>
    <t xml:space="preserve"> відрахування на соціальні заходи</t>
  </si>
  <si>
    <t xml:space="preserve"> амортизація</t>
  </si>
  <si>
    <t xml:space="preserve"> інші операційні витрати</t>
  </si>
  <si>
    <t>Дебіторська заборгованість всього, в т. ч.:</t>
  </si>
  <si>
    <t>Дебіторська заборгованість за товари, роботи, послуги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</si>
  <si>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</si>
  <si>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</si>
  <si>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</si>
  <si>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</si>
  <si>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</si>
  <si>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</si>
  <si>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Кредиторська заборгованість всього, в т. ч.: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</si>
  <si>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</si>
  <si>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</si>
  <si>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</si>
  <si>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 xml:space="preserve"> тис. грн.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</si>
  <si>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</si>
  <si>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</si>
  <si>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</si>
  <si>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</si>
  <si>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</si>
  <si>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чол.</t>
  </si>
  <si>
    <t xml:space="preserve">        АУП</t>
  </si>
  <si>
    <t>Фонд заробітної плати</t>
  </si>
  <si>
    <t>Середньомісячна з/плата</t>
  </si>
  <si>
    <t xml:space="preserve">    одного працівника</t>
  </si>
  <si>
    <t>грн.</t>
  </si>
  <si>
    <t xml:space="preserve">    керівника</t>
  </si>
  <si>
    <t>Рентабельність діяльності</t>
  </si>
  <si>
    <t>%</t>
  </si>
  <si>
    <t>Рентабельність активів</t>
  </si>
  <si>
    <t>КП "Житлосервіс "Евріка"</t>
  </si>
  <si>
    <t>КП "Житлосервіс "Світанок"</t>
  </si>
  <si>
    <t>КП "Сєвєродонецькліфт"</t>
  </si>
  <si>
    <t>КП "Сєвєродонецьк-теплокомуненерго"</t>
  </si>
  <si>
    <t>КП "Сєвєродонецьке тролейбусне управління"</t>
  </si>
  <si>
    <t>КП "Комбінат шкільного харчування"</t>
  </si>
  <si>
    <t>КП "Сєвєродонецьке бюро технічної інвентаризації"</t>
  </si>
  <si>
    <t>КП "Землевпорядник"</t>
  </si>
  <si>
    <t>ПрАТ "Сєвєродонецька міська друкарня"</t>
  </si>
  <si>
    <r>
      <t>Кількість працівників</t>
    </r>
    <r>
      <rPr>
        <sz val="14"/>
        <color indexed="8"/>
        <rFont val="Times New Roman"/>
        <family val="1"/>
      </rPr>
      <t>,  в т.ч.</t>
    </r>
  </si>
  <si>
    <t xml:space="preserve"> абс. відх.,(+/-)</t>
  </si>
  <si>
    <t>Разом</t>
  </si>
  <si>
    <t>-</t>
  </si>
  <si>
    <t>КП "Сєвєродонецьке підприємство садово-паркового господарства та благоустрою"</t>
  </si>
  <si>
    <t>Ю.А. Журба</t>
  </si>
  <si>
    <t>Керуючий справами виконкому Сєвєродонецької міської ради</t>
  </si>
  <si>
    <t>2016 рік</t>
  </si>
  <si>
    <t>*</t>
  </si>
  <si>
    <t>Сєвєродонецької міської ради</t>
  </si>
  <si>
    <t>до рішення виконавчого комітету</t>
  </si>
  <si>
    <t>КП "Єдина аварійно-диспетчерська служба м.Сєвєродонецька"</t>
  </si>
  <si>
    <t>Чистий дохід (виручка) від реалізації продукції (товарів, робіт, послуг)</t>
  </si>
  <si>
    <t>Чистий дохід(виручка) від реалізації продукції (товарів, робіт, послуг)</t>
  </si>
  <si>
    <t>КП "Житлосервіс "Ритм"</t>
  </si>
  <si>
    <t>2017 рік</t>
  </si>
  <si>
    <t>відн. відх, (%)</t>
  </si>
  <si>
    <t>КП "Сєвєродонецьккомунсервис"</t>
  </si>
  <si>
    <t>від "___" ________ 2019 року № ______</t>
  </si>
  <si>
    <t>2018 рік</t>
  </si>
  <si>
    <t>КП "Житлосервіс "Злагода"</t>
  </si>
  <si>
    <t>КП "Житлосервіс "Промінь"</t>
  </si>
  <si>
    <t>РАЗОМ</t>
  </si>
  <si>
    <t>Основні техніко-економічні показники діяльності комунальних підприємств територіальної громади м. Сєвєродонецька  за 2018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</si>
</sst>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4"/>
      <color indexed="9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22"/>
      <color rgb="FF000000"/>
      <name val="Times New Roman"/>
      <family val="1"/>
    </font>
    <font>
      <sz val="22"/>
      <color theme="1"/>
      <name val="Calibri"/>
      <family val="2"/>
    </font>
    <font>
      <sz val="14"/>
      <color theme="0"/>
      <name val="Times New Roman"/>
      <family val="1"/>
    </font>
    <font>
      <b/>
      <sz val="2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theme="0"/>
      <name val="Times New Roman"/>
      <family val="1"/>
    </font>
    <font>
      <b/>
      <sz val="2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6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2" fontId="56" fillId="33" borderId="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/>
    </xf>
    <xf numFmtId="2" fontId="55" fillId="33" borderId="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57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2" fontId="65" fillId="33" borderId="0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center" vertical="center"/>
    </xf>
    <xf numFmtId="2" fontId="65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right" vertical="center"/>
    </xf>
    <xf numFmtId="2" fontId="58" fillId="33" borderId="0" xfId="0" applyNumberFormat="1" applyFont="1" applyFill="1" applyBorder="1" applyAlignment="1">
      <alignment horizontal="right" vertical="center"/>
    </xf>
    <xf numFmtId="2" fontId="59" fillId="33" borderId="0" xfId="0" applyNumberFormat="1" applyFont="1" applyFill="1" applyBorder="1" applyAlignment="1">
      <alignment horizontal="right" vertical="center"/>
    </xf>
    <xf numFmtId="2" fontId="68" fillId="33" borderId="0" xfId="0" applyNumberFormat="1" applyFont="1" applyFill="1" applyBorder="1" applyAlignment="1">
      <alignment horizontal="right" vertical="center"/>
    </xf>
    <xf numFmtId="0" fontId="69" fillId="0" borderId="0" xfId="0" applyFont="1" applyBorder="1" applyAlignment="1">
      <alignment horizontal="left" vertical="center"/>
    </xf>
    <xf numFmtId="0" fontId="70" fillId="33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/>
    </xf>
    <xf numFmtId="2" fontId="71" fillId="33" borderId="0" xfId="0" applyNumberFormat="1" applyFont="1" applyFill="1" applyBorder="1" applyAlignment="1">
      <alignment horizontal="right" vertical="center"/>
    </xf>
    <xf numFmtId="10" fontId="55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7" fillId="33" borderId="10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0" fontId="57" fillId="33" borderId="11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4" fontId="68" fillId="33" borderId="10" xfId="0" applyNumberFormat="1" applyFont="1" applyFill="1" applyBorder="1" applyAlignment="1">
      <alignment horizontal="right" vertical="center"/>
    </xf>
    <xf numFmtId="0" fontId="57" fillId="33" borderId="13" xfId="0" applyNumberFormat="1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59" fillId="33" borderId="10" xfId="0" applyNumberFormat="1" applyFont="1" applyFill="1" applyBorder="1" applyAlignment="1">
      <alignment horizontal="right" vertical="center"/>
    </xf>
    <xf numFmtId="2" fontId="57" fillId="33" borderId="10" xfId="0" applyNumberFormat="1" applyFont="1" applyFill="1" applyBorder="1" applyAlignment="1">
      <alignment horizontal="right" vertical="center"/>
    </xf>
    <xf numFmtId="0" fontId="56" fillId="33" borderId="10" xfId="0" applyNumberFormat="1" applyFont="1" applyFill="1" applyBorder="1" applyAlignment="1">
      <alignment horizontal="right" vertical="center"/>
    </xf>
    <xf numFmtId="2" fontId="56" fillId="33" borderId="1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2" fontId="71" fillId="33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/>
    </xf>
    <xf numFmtId="2" fontId="56" fillId="33" borderId="14" xfId="0" applyNumberFormat="1" applyFont="1" applyFill="1" applyBorder="1" applyAlignment="1">
      <alignment horizontal="right" vertical="center"/>
    </xf>
    <xf numFmtId="4" fontId="59" fillId="33" borderId="10" xfId="0" applyNumberFormat="1" applyFont="1" applyFill="1" applyBorder="1" applyAlignment="1">
      <alignment horizontal="right"/>
    </xf>
    <xf numFmtId="4" fontId="58" fillId="33" borderId="10" xfId="0" applyNumberFormat="1" applyFont="1" applyFill="1" applyBorder="1" applyAlignment="1">
      <alignment horizontal="right" vertical="center"/>
    </xf>
    <xf numFmtId="4" fontId="57" fillId="33" borderId="1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 horizontal="right" vertical="center"/>
    </xf>
    <xf numFmtId="4" fontId="56" fillId="33" borderId="10" xfId="0" applyNumberFormat="1" applyFont="1" applyFill="1" applyBorder="1" applyAlignment="1">
      <alignment horizontal="right" vertical="center"/>
    </xf>
    <xf numFmtId="3" fontId="56" fillId="33" borderId="10" xfId="0" applyNumberFormat="1" applyFont="1" applyFill="1" applyBorder="1" applyAlignment="1">
      <alignment horizontal="right"/>
    </xf>
    <xf numFmtId="3" fontId="56" fillId="33" borderId="1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right" vertical="center"/>
    </xf>
    <xf numFmtId="3" fontId="57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/>
    </xf>
    <xf numFmtId="3" fontId="56" fillId="33" borderId="10" xfId="0" applyNumberFormat="1" applyFont="1" applyFill="1" applyBorder="1" applyAlignment="1">
      <alignment horizontal="right" vertical="center"/>
    </xf>
    <xf numFmtId="4" fontId="57" fillId="33" borderId="10" xfId="0" applyNumberFormat="1" applyFont="1" applyFill="1" applyBorder="1" applyAlignment="1">
      <alignment horizontal="right"/>
    </xf>
    <xf numFmtId="4" fontId="57" fillId="33" borderId="10" xfId="0" applyNumberFormat="1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center"/>
    </xf>
    <xf numFmtId="2" fontId="73" fillId="33" borderId="10" xfId="0" applyNumberFormat="1" applyFont="1" applyFill="1" applyBorder="1" applyAlignment="1">
      <alignment horizontal="right" vertical="center"/>
    </xf>
    <xf numFmtId="0" fontId="59" fillId="33" borderId="11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right" vertical="center"/>
    </xf>
    <xf numFmtId="2" fontId="2" fillId="33" borderId="14" xfId="0" applyNumberFormat="1" applyFont="1" applyFill="1" applyBorder="1" applyAlignment="1">
      <alignment horizontal="right" vertical="center"/>
    </xf>
    <xf numFmtId="2" fontId="59" fillId="33" borderId="10" xfId="0" applyNumberFormat="1" applyFont="1" applyFill="1" applyBorder="1" applyAlignment="1">
      <alignment horizontal="right"/>
    </xf>
    <xf numFmtId="2" fontId="58" fillId="33" borderId="10" xfId="0" applyNumberFormat="1" applyFont="1" applyFill="1" applyBorder="1" applyAlignment="1">
      <alignment horizontal="right"/>
    </xf>
    <xf numFmtId="1" fontId="58" fillId="33" borderId="10" xfId="0" applyNumberFormat="1" applyFont="1" applyFill="1" applyBorder="1" applyAlignment="1">
      <alignment horizontal="right" vertical="center"/>
    </xf>
    <xf numFmtId="1" fontId="56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/>
    </xf>
    <xf numFmtId="10" fontId="2" fillId="33" borderId="10" xfId="0" applyNumberFormat="1" applyFont="1" applyFill="1" applyBorder="1" applyAlignment="1">
      <alignment horizontal="right" vertical="center"/>
    </xf>
    <xf numFmtId="2" fontId="56" fillId="33" borderId="13" xfId="0" applyNumberFormat="1" applyFont="1" applyFill="1" applyBorder="1" applyAlignment="1">
      <alignment horizontal="right" vertical="center"/>
    </xf>
    <xf numFmtId="2" fontId="68" fillId="33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58" fillId="33" borderId="11" xfId="0" applyNumberFormat="1" applyFont="1" applyFill="1" applyBorder="1" applyAlignment="1">
      <alignment horizontal="center" vertical="center"/>
    </xf>
    <xf numFmtId="3" fontId="58" fillId="33" borderId="14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14" xfId="0" applyNumberFormat="1" applyFont="1" applyFill="1" applyBorder="1" applyAlignment="1">
      <alignment horizontal="center" vertical="center"/>
    </xf>
    <xf numFmtId="4" fontId="74" fillId="33" borderId="11" xfId="0" applyNumberFormat="1" applyFont="1" applyFill="1" applyBorder="1" applyAlignment="1">
      <alignment horizontal="center" vertical="center"/>
    </xf>
    <xf numFmtId="4" fontId="74" fillId="33" borderId="14" xfId="0" applyNumberFormat="1" applyFont="1" applyFill="1" applyBorder="1" applyAlignment="1">
      <alignment horizontal="center" vertical="center"/>
    </xf>
    <xf numFmtId="0" fontId="57" fillId="33" borderId="1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75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0" fontId="70" fillId="33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33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4" fontId="68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4" fontId="68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view="pageBreakPreview" zoomScale="76" zoomScaleSheetLayoutView="76" zoomScalePageLayoutView="0" workbookViewId="0" topLeftCell="B1">
      <selection activeCell="O93" sqref="O93"/>
    </sheetView>
  </sheetViews>
  <sheetFormatPr defaultColWidth="9.140625" defaultRowHeight="15"/>
  <cols>
    <col min="1" max="1" width="5.57421875" style="0" customWidth="1"/>
    <col min="2" max="2" width="63.8515625" style="0" customWidth="1"/>
    <col min="3" max="3" width="11.7109375" style="0" customWidth="1"/>
    <col min="4" max="4" width="14.00390625" style="0" customWidth="1"/>
    <col min="5" max="5" width="14.28125" style="0" customWidth="1"/>
    <col min="6" max="6" width="13.28125" style="0" customWidth="1"/>
    <col min="7" max="7" width="15.00390625" style="0" customWidth="1"/>
    <col min="8" max="8" width="14.28125" style="0" customWidth="1"/>
    <col min="9" max="9" width="12.28125" style="0" customWidth="1"/>
    <col min="10" max="10" width="16.00390625" style="0" customWidth="1"/>
    <col min="11" max="11" width="17.57421875" style="0" customWidth="1"/>
    <col min="12" max="12" width="14.00390625" style="0" customWidth="1"/>
    <col min="13" max="13" width="15.28125" style="0" customWidth="1"/>
    <col min="14" max="14" width="15.00390625" style="0" customWidth="1"/>
    <col min="15" max="15" width="15.28125" style="0" customWidth="1"/>
    <col min="16" max="16" width="15.00390625" style="20" customWidth="1"/>
  </cols>
  <sheetData>
    <row r="1" spans="1:17" ht="24" customHeight="1">
      <c r="A1" s="2" t="s">
        <v>0</v>
      </c>
      <c r="B1" s="2"/>
      <c r="C1" s="2"/>
      <c r="D1" s="2"/>
      <c r="E1" s="2"/>
      <c r="F1" s="2"/>
      <c r="G1" s="2"/>
      <c r="H1" s="2"/>
      <c r="K1" s="36" t="s">
        <v>1</v>
      </c>
      <c r="L1" s="35"/>
      <c r="M1" s="35"/>
      <c r="N1" s="34"/>
      <c r="O1" s="33"/>
      <c r="P1" s="33"/>
      <c r="Q1" s="1"/>
    </row>
    <row r="2" spans="1:17" ht="24" customHeight="1">
      <c r="A2" s="2"/>
      <c r="B2" s="2"/>
      <c r="C2" s="2"/>
      <c r="D2" s="2"/>
      <c r="E2" s="2"/>
      <c r="F2" s="2"/>
      <c r="G2" s="2"/>
      <c r="H2" s="2"/>
      <c r="K2" s="36" t="s">
        <v>68</v>
      </c>
      <c r="L2" s="35"/>
      <c r="M2" s="35"/>
      <c r="N2" s="34"/>
      <c r="O2" s="33"/>
      <c r="P2" s="33"/>
      <c r="Q2" s="1"/>
    </row>
    <row r="3" spans="1:17" ht="24" customHeight="1">
      <c r="A3" s="2"/>
      <c r="B3" s="2"/>
      <c r="C3" s="2"/>
      <c r="D3" s="2"/>
      <c r="E3" s="2"/>
      <c r="F3" s="2"/>
      <c r="G3" s="2"/>
      <c r="H3" s="2"/>
      <c r="K3" s="37" t="s">
        <v>67</v>
      </c>
      <c r="L3" s="35"/>
      <c r="M3" s="35"/>
      <c r="N3" s="34"/>
      <c r="O3" s="33"/>
      <c r="P3" s="33"/>
      <c r="Q3" s="1"/>
    </row>
    <row r="4" spans="1:17" ht="24" customHeight="1">
      <c r="A4" s="2"/>
      <c r="B4" s="2"/>
      <c r="C4" s="2"/>
      <c r="D4" s="2"/>
      <c r="E4" s="2"/>
      <c r="F4" s="2"/>
      <c r="G4" s="2"/>
      <c r="H4" s="2"/>
      <c r="K4" s="36" t="s">
        <v>76</v>
      </c>
      <c r="L4" s="35"/>
      <c r="M4" s="35"/>
      <c r="N4" s="34"/>
      <c r="O4" s="33"/>
      <c r="P4" s="33"/>
      <c r="Q4" s="1"/>
    </row>
    <row r="5" spans="1:17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25"/>
      <c r="Q5" s="1"/>
    </row>
    <row r="6" spans="1:17" ht="20.25">
      <c r="A6" s="2"/>
      <c r="B6" s="140" t="s">
        <v>81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27"/>
      <c r="N6" s="27"/>
      <c r="O6" s="1"/>
      <c r="P6" s="25"/>
      <c r="Q6" s="1"/>
    </row>
    <row r="7" spans="1:17" ht="18.75">
      <c r="A7" s="2"/>
      <c r="B7" s="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80"/>
      <c r="P7" s="25"/>
      <c r="Q7" s="1"/>
    </row>
    <row r="8" spans="1:17" ht="17.25" customHeight="1">
      <c r="A8" s="137" t="s">
        <v>2</v>
      </c>
      <c r="B8" s="123" t="s">
        <v>3</v>
      </c>
      <c r="C8" s="142"/>
      <c r="D8" s="134" t="s">
        <v>4</v>
      </c>
      <c r="E8" s="135"/>
      <c r="F8" s="136"/>
      <c r="G8" s="134" t="s">
        <v>49</v>
      </c>
      <c r="H8" s="135"/>
      <c r="I8" s="136"/>
      <c r="J8" s="134" t="s">
        <v>50</v>
      </c>
      <c r="K8" s="135"/>
      <c r="L8" s="136"/>
      <c r="M8" s="134" t="s">
        <v>72</v>
      </c>
      <c r="N8" s="135"/>
      <c r="O8" s="136"/>
      <c r="P8" s="28"/>
      <c r="Q8" s="1"/>
    </row>
    <row r="9" spans="1:17" ht="18.75">
      <c r="A9" s="138"/>
      <c r="B9" s="139"/>
      <c r="C9" s="143"/>
      <c r="D9" s="73" t="s">
        <v>73</v>
      </c>
      <c r="E9" s="66" t="s">
        <v>77</v>
      </c>
      <c r="F9" s="66" t="s">
        <v>5</v>
      </c>
      <c r="G9" s="73" t="s">
        <v>73</v>
      </c>
      <c r="H9" s="66" t="s">
        <v>77</v>
      </c>
      <c r="I9" s="66" t="s">
        <v>5</v>
      </c>
      <c r="J9" s="73" t="s">
        <v>73</v>
      </c>
      <c r="K9" s="66" t="s">
        <v>77</v>
      </c>
      <c r="L9" s="66" t="s">
        <v>5</v>
      </c>
      <c r="M9" s="73" t="s">
        <v>73</v>
      </c>
      <c r="N9" s="67" t="s">
        <v>77</v>
      </c>
      <c r="O9" s="66" t="s">
        <v>5</v>
      </c>
      <c r="P9" s="23"/>
      <c r="Q9" s="1"/>
    </row>
    <row r="10" spans="1:17" ht="37.5">
      <c r="A10" s="3">
        <v>1</v>
      </c>
      <c r="B10" s="4" t="s">
        <v>70</v>
      </c>
      <c r="C10" s="81" t="s">
        <v>6</v>
      </c>
      <c r="D10" s="74">
        <v>0</v>
      </c>
      <c r="E10" s="74">
        <v>0</v>
      </c>
      <c r="F10" s="82">
        <v>0</v>
      </c>
      <c r="G10" s="74">
        <v>0</v>
      </c>
      <c r="H10" s="74">
        <v>0</v>
      </c>
      <c r="I10" s="75">
        <v>0</v>
      </c>
      <c r="J10" s="83">
        <v>8291</v>
      </c>
      <c r="K10" s="83">
        <v>42894</v>
      </c>
      <c r="L10" s="75">
        <f>(K10-J10)/J10*100</f>
        <v>417.3561693402485</v>
      </c>
      <c r="M10" s="75">
        <v>0</v>
      </c>
      <c r="N10" s="75">
        <v>0</v>
      </c>
      <c r="O10" s="77">
        <v>0</v>
      </c>
      <c r="P10" s="24"/>
      <c r="Q10" s="1"/>
    </row>
    <row r="11" spans="1:17" ht="18.75">
      <c r="A11" s="3"/>
      <c r="B11" s="5" t="s">
        <v>7</v>
      </c>
      <c r="C11" s="81"/>
      <c r="D11" s="84"/>
      <c r="E11" s="85"/>
      <c r="F11" s="86"/>
      <c r="G11" s="76"/>
      <c r="H11" s="76"/>
      <c r="I11" s="71"/>
      <c r="J11" s="70"/>
      <c r="K11" s="70"/>
      <c r="L11" s="71"/>
      <c r="M11" s="71"/>
      <c r="N11" s="71"/>
      <c r="O11" s="71"/>
      <c r="P11" s="24"/>
      <c r="Q11" s="1"/>
    </row>
    <row r="12" spans="1:17" ht="18.75">
      <c r="A12" s="3"/>
      <c r="B12" s="5" t="s">
        <v>8</v>
      </c>
      <c r="C12" s="81" t="s">
        <v>6</v>
      </c>
      <c r="D12" s="79"/>
      <c r="E12" s="85"/>
      <c r="F12" s="86" t="s">
        <v>61</v>
      </c>
      <c r="G12" s="76"/>
      <c r="H12" s="76"/>
      <c r="I12" s="71" t="s">
        <v>61</v>
      </c>
      <c r="J12" s="70">
        <v>1252</v>
      </c>
      <c r="K12" s="70">
        <v>5579</v>
      </c>
      <c r="L12" s="71">
        <f>(K12-J12)/J12*100</f>
        <v>345.60702875399363</v>
      </c>
      <c r="M12" s="71"/>
      <c r="N12" s="71"/>
      <c r="O12" s="71"/>
      <c r="P12" s="24"/>
      <c r="Q12" s="1"/>
    </row>
    <row r="13" spans="1:17" ht="18.75">
      <c r="A13" s="3"/>
      <c r="B13" s="5" t="s">
        <v>9</v>
      </c>
      <c r="C13" s="81" t="s">
        <v>6</v>
      </c>
      <c r="D13" s="87">
        <v>271</v>
      </c>
      <c r="E13" s="85">
        <v>123.8</v>
      </c>
      <c r="F13" s="86">
        <f>(E13-D13)/D13*100</f>
        <v>-54.31734317343173</v>
      </c>
      <c r="G13" s="76">
        <v>227</v>
      </c>
      <c r="H13" s="76">
        <v>68</v>
      </c>
      <c r="I13" s="71">
        <f>(H13-G13)/G13*100</f>
        <v>-70.04405286343612</v>
      </c>
      <c r="J13" s="70"/>
      <c r="K13" s="70"/>
      <c r="L13" s="71" t="s">
        <v>61</v>
      </c>
      <c r="M13" s="71">
        <v>42</v>
      </c>
      <c r="N13" s="71">
        <v>109.1</v>
      </c>
      <c r="O13" s="79">
        <f>(N13-M13)/M13*100</f>
        <v>159.76190476190476</v>
      </c>
      <c r="P13" s="24"/>
      <c r="Q13" s="1"/>
    </row>
    <row r="14" spans="1:17" ht="18.75">
      <c r="A14" s="3">
        <v>2</v>
      </c>
      <c r="B14" s="4" t="s">
        <v>10</v>
      </c>
      <c r="C14" s="81"/>
      <c r="D14" s="87"/>
      <c r="E14" s="85"/>
      <c r="F14" s="86"/>
      <c r="G14" s="76"/>
      <c r="H14" s="76"/>
      <c r="I14" s="71"/>
      <c r="J14" s="70"/>
      <c r="K14" s="70"/>
      <c r="L14" s="71"/>
      <c r="M14" s="71"/>
      <c r="N14" s="71"/>
      <c r="O14" s="71"/>
      <c r="P14" s="24"/>
      <c r="Q14" s="1"/>
    </row>
    <row r="15" spans="1:17" ht="18.75">
      <c r="A15" s="3"/>
      <c r="B15" s="5" t="s">
        <v>11</v>
      </c>
      <c r="C15" s="81" t="s">
        <v>12</v>
      </c>
      <c r="D15" s="87">
        <v>996.4</v>
      </c>
      <c r="E15" s="85">
        <v>973.7</v>
      </c>
      <c r="F15" s="86">
        <f aca="true" t="shared" si="0" ref="F15:F48">(E15-D15)/D15*100</f>
        <v>-2.2782015254917636</v>
      </c>
      <c r="G15" s="76">
        <v>62</v>
      </c>
      <c r="H15" s="76">
        <v>61</v>
      </c>
      <c r="I15" s="71">
        <f aca="true" t="shared" si="1" ref="I15:I25">(H15-G15)/G15*100</f>
        <v>-1.6129032258064515</v>
      </c>
      <c r="J15" s="70">
        <v>1211573</v>
      </c>
      <c r="K15" s="70">
        <v>1178297</v>
      </c>
      <c r="L15" s="71">
        <f aca="true" t="shared" si="2" ref="L15:L25">(K15-J15)/J15*100</f>
        <v>-2.7465121787956646</v>
      </c>
      <c r="M15" s="71">
        <v>1161.7</v>
      </c>
      <c r="N15" s="71">
        <v>1161.7</v>
      </c>
      <c r="O15" s="79">
        <f aca="true" t="shared" si="3" ref="O15:O25">(N15-M15)/M15*100</f>
        <v>0</v>
      </c>
      <c r="P15" s="24"/>
      <c r="Q15" s="1"/>
    </row>
    <row r="16" spans="1:17" ht="18.75">
      <c r="A16" s="3"/>
      <c r="B16" s="5" t="s">
        <v>13</v>
      </c>
      <c r="C16" s="81" t="s">
        <v>12</v>
      </c>
      <c r="D16" s="87">
        <v>2004.1</v>
      </c>
      <c r="E16" s="85">
        <v>2004.1</v>
      </c>
      <c r="F16" s="86">
        <f t="shared" si="0"/>
        <v>0</v>
      </c>
      <c r="G16" s="76">
        <v>229</v>
      </c>
      <c r="H16" s="76">
        <v>231</v>
      </c>
      <c r="I16" s="71">
        <f t="shared" si="1"/>
        <v>0.8733624454148471</v>
      </c>
      <c r="J16" s="70">
        <v>3755345</v>
      </c>
      <c r="K16" s="70">
        <v>3757224</v>
      </c>
      <c r="L16" s="71">
        <f t="shared" si="2"/>
        <v>0.0500353496150154</v>
      </c>
      <c r="M16" s="71">
        <v>4826.6</v>
      </c>
      <c r="N16" s="71">
        <v>4826.6</v>
      </c>
      <c r="O16" s="79">
        <f t="shared" si="3"/>
        <v>0</v>
      </c>
      <c r="P16" s="24"/>
      <c r="Q16" s="1"/>
    </row>
    <row r="17" spans="1:17" ht="18.75">
      <c r="A17" s="3"/>
      <c r="B17" s="5" t="s">
        <v>14</v>
      </c>
      <c r="C17" s="81" t="s">
        <v>12</v>
      </c>
      <c r="D17" s="87">
        <v>1007.7</v>
      </c>
      <c r="E17" s="85">
        <v>1030.4</v>
      </c>
      <c r="F17" s="86">
        <f t="shared" si="0"/>
        <v>2.2526545598888603</v>
      </c>
      <c r="G17" s="76">
        <v>167</v>
      </c>
      <c r="H17" s="76">
        <v>170</v>
      </c>
      <c r="I17" s="71">
        <f t="shared" si="1"/>
        <v>1.7964071856287425</v>
      </c>
      <c r="J17" s="70">
        <v>2543772</v>
      </c>
      <c r="K17" s="70">
        <v>2578927</v>
      </c>
      <c r="L17" s="71">
        <f t="shared" si="2"/>
        <v>1.3820027895581837</v>
      </c>
      <c r="M17" s="71">
        <v>3664.9</v>
      </c>
      <c r="N17" s="71">
        <v>3664.9</v>
      </c>
      <c r="O17" s="79">
        <f t="shared" si="3"/>
        <v>0</v>
      </c>
      <c r="P17" s="24"/>
      <c r="Q17" s="1"/>
    </row>
    <row r="18" spans="1:17" ht="18.75">
      <c r="A18" s="3">
        <v>3</v>
      </c>
      <c r="B18" s="4" t="s">
        <v>15</v>
      </c>
      <c r="C18" s="81" t="s">
        <v>12</v>
      </c>
      <c r="D18" s="88">
        <v>295</v>
      </c>
      <c r="E18" s="89">
        <f>SUM(E19:E23)</f>
        <v>168</v>
      </c>
      <c r="F18" s="82">
        <f t="shared" si="0"/>
        <v>-43.050847457627114</v>
      </c>
      <c r="G18" s="74">
        <v>372</v>
      </c>
      <c r="H18" s="74">
        <f>SUM(H19:H23)</f>
        <v>118</v>
      </c>
      <c r="I18" s="77">
        <f t="shared" si="1"/>
        <v>-68.27956989247312</v>
      </c>
      <c r="J18" s="88">
        <v>31042</v>
      </c>
      <c r="K18" s="88">
        <f>SUM(K19:K23)</f>
        <v>58763</v>
      </c>
      <c r="L18" s="77">
        <f t="shared" si="2"/>
        <v>89.3015913923072</v>
      </c>
      <c r="M18" s="74">
        <v>136</v>
      </c>
      <c r="N18" s="74">
        <v>136</v>
      </c>
      <c r="O18" s="77">
        <f t="shared" si="3"/>
        <v>0</v>
      </c>
      <c r="P18" s="17"/>
      <c r="Q18" s="1"/>
    </row>
    <row r="19" spans="1:17" ht="18.75">
      <c r="A19" s="3"/>
      <c r="B19" s="5" t="s">
        <v>16</v>
      </c>
      <c r="C19" s="81" t="s">
        <v>12</v>
      </c>
      <c r="D19" s="87">
        <v>1</v>
      </c>
      <c r="E19" s="85">
        <v>5.8</v>
      </c>
      <c r="F19" s="86">
        <f t="shared" si="0"/>
        <v>480</v>
      </c>
      <c r="G19" s="76">
        <v>5</v>
      </c>
      <c r="H19" s="76">
        <v>5</v>
      </c>
      <c r="I19" s="71">
        <f t="shared" si="1"/>
        <v>0</v>
      </c>
      <c r="J19" s="70">
        <v>11205</v>
      </c>
      <c r="K19" s="70">
        <v>30490</v>
      </c>
      <c r="L19" s="71">
        <f t="shared" si="2"/>
        <v>172.11066488174922</v>
      </c>
      <c r="M19" s="71">
        <v>0</v>
      </c>
      <c r="N19" s="71">
        <v>2</v>
      </c>
      <c r="O19" s="79">
        <v>0</v>
      </c>
      <c r="P19" s="24"/>
      <c r="Q19" s="1"/>
    </row>
    <row r="20" spans="1:17" ht="18.75">
      <c r="A20" s="3"/>
      <c r="B20" s="5" t="s">
        <v>17</v>
      </c>
      <c r="C20" s="81" t="s">
        <v>12</v>
      </c>
      <c r="D20" s="87">
        <v>151</v>
      </c>
      <c r="E20" s="85">
        <v>48.5</v>
      </c>
      <c r="F20" s="86">
        <f t="shared" si="0"/>
        <v>-67.88079470198676</v>
      </c>
      <c r="G20" s="76">
        <v>191</v>
      </c>
      <c r="H20" s="76">
        <v>58</v>
      </c>
      <c r="I20" s="71">
        <f t="shared" si="1"/>
        <v>-69.63350785340315</v>
      </c>
      <c r="J20" s="70">
        <v>15240</v>
      </c>
      <c r="K20" s="70">
        <v>21551</v>
      </c>
      <c r="L20" s="71">
        <f t="shared" si="2"/>
        <v>41.41076115485564</v>
      </c>
      <c r="M20" s="71">
        <v>90</v>
      </c>
      <c r="N20" s="71">
        <v>49.3</v>
      </c>
      <c r="O20" s="79">
        <f t="shared" si="3"/>
        <v>-45.22222222222222</v>
      </c>
      <c r="P20" s="24"/>
      <c r="Q20" s="1"/>
    </row>
    <row r="21" spans="1:17" ht="18.75">
      <c r="A21" s="3"/>
      <c r="B21" s="5" t="s">
        <v>18</v>
      </c>
      <c r="C21" s="81" t="s">
        <v>12</v>
      </c>
      <c r="D21" s="90">
        <v>31</v>
      </c>
      <c r="E21" s="85">
        <v>10.7</v>
      </c>
      <c r="F21" s="86">
        <f t="shared" si="0"/>
        <v>-65.48387096774194</v>
      </c>
      <c r="G21" s="76">
        <v>39</v>
      </c>
      <c r="H21" s="76">
        <v>13</v>
      </c>
      <c r="I21" s="71">
        <f t="shared" si="1"/>
        <v>-66.66666666666666</v>
      </c>
      <c r="J21" s="70">
        <v>3345</v>
      </c>
      <c r="K21" s="70">
        <v>4716</v>
      </c>
      <c r="L21" s="71">
        <f t="shared" si="2"/>
        <v>40.98654708520179</v>
      </c>
      <c r="M21" s="71">
        <v>19.8</v>
      </c>
      <c r="N21" s="71">
        <v>10.8</v>
      </c>
      <c r="O21" s="79">
        <f t="shared" si="3"/>
        <v>-45.45454545454545</v>
      </c>
      <c r="P21" s="24"/>
      <c r="Q21" s="1"/>
    </row>
    <row r="22" spans="1:17" ht="18.75">
      <c r="A22" s="3"/>
      <c r="B22" s="5" t="s">
        <v>19</v>
      </c>
      <c r="C22" s="81" t="s">
        <v>12</v>
      </c>
      <c r="D22" s="87">
        <v>23</v>
      </c>
      <c r="E22" s="85">
        <v>22.7</v>
      </c>
      <c r="F22" s="86">
        <f t="shared" si="0"/>
        <v>-1.3043478260869596</v>
      </c>
      <c r="G22" s="76">
        <v>1</v>
      </c>
      <c r="H22" s="76">
        <v>3</v>
      </c>
      <c r="I22" s="71">
        <f t="shared" si="1"/>
        <v>200</v>
      </c>
      <c r="J22" s="70">
        <v>631</v>
      </c>
      <c r="K22" s="70">
        <v>725</v>
      </c>
      <c r="L22" s="71">
        <f t="shared" si="2"/>
        <v>14.896988906497624</v>
      </c>
      <c r="M22" s="71">
        <v>0</v>
      </c>
      <c r="N22" s="71">
        <v>0</v>
      </c>
      <c r="O22" s="79">
        <v>0</v>
      </c>
      <c r="P22" s="24"/>
      <c r="Q22" s="1"/>
    </row>
    <row r="23" spans="1:17" ht="18.75">
      <c r="A23" s="3"/>
      <c r="B23" s="5" t="s">
        <v>20</v>
      </c>
      <c r="C23" s="81" t="s">
        <v>12</v>
      </c>
      <c r="D23" s="87">
        <v>89</v>
      </c>
      <c r="E23" s="85">
        <v>80.3</v>
      </c>
      <c r="F23" s="86">
        <f t="shared" si="0"/>
        <v>-9.775280898876408</v>
      </c>
      <c r="G23" s="76">
        <v>136</v>
      </c>
      <c r="H23" s="76">
        <v>39</v>
      </c>
      <c r="I23" s="71">
        <f t="shared" si="1"/>
        <v>-71.32352941176471</v>
      </c>
      <c r="J23" s="70">
        <v>621</v>
      </c>
      <c r="K23" s="70">
        <v>1281</v>
      </c>
      <c r="L23" s="71">
        <f t="shared" si="2"/>
        <v>106.28019323671498</v>
      </c>
      <c r="M23" s="71">
        <v>26.2</v>
      </c>
      <c r="N23" s="71">
        <v>162.7</v>
      </c>
      <c r="O23" s="79">
        <f t="shared" si="3"/>
        <v>520.9923664122138</v>
      </c>
      <c r="P23" s="24"/>
      <c r="Q23" s="1"/>
    </row>
    <row r="24" spans="1:17" ht="37.5">
      <c r="A24" s="3">
        <v>4</v>
      </c>
      <c r="B24" s="4" t="s">
        <v>21</v>
      </c>
      <c r="C24" s="81" t="s">
        <v>12</v>
      </c>
      <c r="D24" s="88">
        <f>D25+SUM(D27:D31)</f>
        <v>3234</v>
      </c>
      <c r="E24" s="89">
        <f>E25+SUM(E27:E31)</f>
        <v>3102</v>
      </c>
      <c r="F24" s="82">
        <f t="shared" si="0"/>
        <v>-4.081632653061225</v>
      </c>
      <c r="G24" s="75">
        <f>G25+SUM(G27:G31)</f>
        <v>526</v>
      </c>
      <c r="H24" s="75">
        <f>H25+SUM(H27:H31)</f>
        <v>453</v>
      </c>
      <c r="I24" s="75">
        <f t="shared" si="1"/>
        <v>-13.878326996197718</v>
      </c>
      <c r="J24" s="83">
        <f>J25+SUM(J27:J31)</f>
        <v>23985</v>
      </c>
      <c r="K24" s="83">
        <f>K25+K27+K28+K31</f>
        <v>35730</v>
      </c>
      <c r="L24" s="75">
        <f t="shared" si="2"/>
        <v>48.96810506566604</v>
      </c>
      <c r="M24" s="75">
        <f>SUM(M25,M27:M31)</f>
        <v>2432.7999999999997</v>
      </c>
      <c r="N24" s="75">
        <f>SUM(N25:N31)</f>
        <v>2342.2</v>
      </c>
      <c r="O24" s="77">
        <f t="shared" si="3"/>
        <v>-3.7241039131864486</v>
      </c>
      <c r="P24" s="24"/>
      <c r="Q24" s="1"/>
    </row>
    <row r="25" spans="1:17" ht="22.5" customHeight="1">
      <c r="A25" s="3"/>
      <c r="B25" s="5" t="s">
        <v>22</v>
      </c>
      <c r="C25" s="81" t="s">
        <v>12</v>
      </c>
      <c r="D25" s="87">
        <v>2464</v>
      </c>
      <c r="E25" s="85">
        <v>2330.9</v>
      </c>
      <c r="F25" s="86">
        <f t="shared" si="0"/>
        <v>-5.40178571428571</v>
      </c>
      <c r="G25" s="76">
        <v>439</v>
      </c>
      <c r="H25" s="76">
        <v>378</v>
      </c>
      <c r="I25" s="71">
        <f t="shared" si="1"/>
        <v>-13.895216400911162</v>
      </c>
      <c r="J25" s="90">
        <v>20549</v>
      </c>
      <c r="K25" s="90">
        <v>31528</v>
      </c>
      <c r="L25" s="71">
        <f t="shared" si="2"/>
        <v>53.4283906759453</v>
      </c>
      <c r="M25" s="76">
        <v>2432.1</v>
      </c>
      <c r="N25" s="76">
        <v>2339.7</v>
      </c>
      <c r="O25" s="79">
        <f t="shared" si="3"/>
        <v>-3.7991858887381316</v>
      </c>
      <c r="P25" s="24"/>
      <c r="Q25" s="1"/>
    </row>
    <row r="26" spans="1:17" ht="37.5">
      <c r="A26" s="3"/>
      <c r="B26" s="5" t="s">
        <v>23</v>
      </c>
      <c r="C26" s="81" t="s">
        <v>12</v>
      </c>
      <c r="D26" s="87"/>
      <c r="E26" s="85"/>
      <c r="F26" s="86"/>
      <c r="G26" s="76"/>
      <c r="H26" s="76"/>
      <c r="I26" s="71"/>
      <c r="J26" s="90"/>
      <c r="K26" s="90"/>
      <c r="L26" s="71"/>
      <c r="M26" s="76"/>
      <c r="N26" s="76"/>
      <c r="O26" s="71"/>
      <c r="P26" s="24"/>
      <c r="Q26" s="1"/>
    </row>
    <row r="27" spans="1:17" ht="18.75">
      <c r="A27" s="3"/>
      <c r="B27" s="5" t="s">
        <v>24</v>
      </c>
      <c r="C27" s="81"/>
      <c r="D27" s="87">
        <v>1</v>
      </c>
      <c r="E27" s="85">
        <v>1.7</v>
      </c>
      <c r="F27" s="86">
        <f t="shared" si="0"/>
        <v>70</v>
      </c>
      <c r="G27" s="71">
        <v>0</v>
      </c>
      <c r="H27" s="71">
        <v>0</v>
      </c>
      <c r="I27" s="71">
        <v>0</v>
      </c>
      <c r="J27" s="90">
        <v>3418</v>
      </c>
      <c r="K27" s="90">
        <v>2503</v>
      </c>
      <c r="L27" s="71">
        <f>(K27-J27)/J27*100</f>
        <v>-26.77004095962551</v>
      </c>
      <c r="M27" s="71">
        <v>0.7</v>
      </c>
      <c r="N27" s="71">
        <v>0.7</v>
      </c>
      <c r="O27" s="79">
        <v>0</v>
      </c>
      <c r="P27" s="24"/>
      <c r="Q27" s="1"/>
    </row>
    <row r="28" spans="1:17" ht="18.75">
      <c r="A28" s="3"/>
      <c r="B28" s="5" t="s">
        <v>25</v>
      </c>
      <c r="C28" s="81" t="s">
        <v>12</v>
      </c>
      <c r="D28" s="87">
        <v>769</v>
      </c>
      <c r="E28" s="85">
        <v>0</v>
      </c>
      <c r="F28" s="86">
        <f t="shared" si="0"/>
        <v>-100</v>
      </c>
      <c r="G28" s="71">
        <v>0</v>
      </c>
      <c r="H28" s="71">
        <v>0</v>
      </c>
      <c r="I28" s="71">
        <v>0</v>
      </c>
      <c r="J28" s="91">
        <v>0</v>
      </c>
      <c r="K28" s="91">
        <v>1362</v>
      </c>
      <c r="L28" s="71">
        <v>0</v>
      </c>
      <c r="M28" s="71">
        <v>0</v>
      </c>
      <c r="N28" s="71">
        <v>0</v>
      </c>
      <c r="O28" s="79">
        <v>0</v>
      </c>
      <c r="P28" s="24"/>
      <c r="Q28" s="1"/>
    </row>
    <row r="29" spans="1:17" ht="18.75">
      <c r="A29" s="3"/>
      <c r="B29" s="5" t="s">
        <v>26</v>
      </c>
      <c r="C29" s="81" t="s">
        <v>12</v>
      </c>
      <c r="D29" s="91">
        <v>0</v>
      </c>
      <c r="E29" s="85">
        <v>0</v>
      </c>
      <c r="F29" s="86">
        <v>0</v>
      </c>
      <c r="G29" s="71">
        <v>0</v>
      </c>
      <c r="H29" s="71">
        <v>0</v>
      </c>
      <c r="I29" s="71">
        <v>0</v>
      </c>
      <c r="J29" s="91">
        <v>0</v>
      </c>
      <c r="K29" s="91">
        <v>0</v>
      </c>
      <c r="L29" s="71">
        <v>0</v>
      </c>
      <c r="M29" s="71">
        <v>0</v>
      </c>
      <c r="N29" s="71">
        <v>0</v>
      </c>
      <c r="O29" s="79">
        <v>0</v>
      </c>
      <c r="P29" s="24"/>
      <c r="Q29" s="1"/>
    </row>
    <row r="30" spans="1:17" ht="18.75">
      <c r="A30" s="3"/>
      <c r="B30" s="5" t="s">
        <v>27</v>
      </c>
      <c r="C30" s="81" t="s">
        <v>12</v>
      </c>
      <c r="D30" s="91">
        <v>0</v>
      </c>
      <c r="E30" s="85">
        <v>0</v>
      </c>
      <c r="F30" s="86">
        <v>0</v>
      </c>
      <c r="G30" s="71">
        <v>0</v>
      </c>
      <c r="H30" s="71">
        <v>0</v>
      </c>
      <c r="I30" s="71">
        <v>0</v>
      </c>
      <c r="J30" s="91">
        <v>0</v>
      </c>
      <c r="K30" s="91">
        <v>0</v>
      </c>
      <c r="L30" s="71">
        <v>0</v>
      </c>
      <c r="M30" s="71">
        <v>0</v>
      </c>
      <c r="N30" s="71">
        <v>0</v>
      </c>
      <c r="O30" s="79">
        <v>0</v>
      </c>
      <c r="P30" s="24"/>
      <c r="Q30" s="1"/>
    </row>
    <row r="31" spans="1:17" ht="18.75">
      <c r="A31" s="3"/>
      <c r="B31" s="5" t="s">
        <v>28</v>
      </c>
      <c r="C31" s="81" t="s">
        <v>12</v>
      </c>
      <c r="D31" s="91">
        <v>0</v>
      </c>
      <c r="E31" s="85">
        <v>769.4</v>
      </c>
      <c r="F31" s="86">
        <v>0</v>
      </c>
      <c r="G31" s="76">
        <v>87</v>
      </c>
      <c r="H31" s="76">
        <v>75</v>
      </c>
      <c r="I31" s="71">
        <f>(H31-G31)/G31*100</f>
        <v>-13.793103448275861</v>
      </c>
      <c r="J31" s="90">
        <v>18</v>
      </c>
      <c r="K31" s="90">
        <v>337</v>
      </c>
      <c r="L31" s="71">
        <v>0</v>
      </c>
      <c r="M31" s="79">
        <v>0</v>
      </c>
      <c r="N31" s="79">
        <v>1.8</v>
      </c>
      <c r="O31" s="79">
        <v>0</v>
      </c>
      <c r="P31" s="24"/>
      <c r="Q31" s="1"/>
    </row>
    <row r="32" spans="1:17" ht="37.5">
      <c r="A32" s="3">
        <v>5</v>
      </c>
      <c r="B32" s="4" t="s">
        <v>29</v>
      </c>
      <c r="C32" s="81" t="s">
        <v>12</v>
      </c>
      <c r="D32" s="88">
        <f>D33+SUM(D35:D42)</f>
        <v>2488</v>
      </c>
      <c r="E32" s="89">
        <f>E33+SUM(E35:E42)</f>
        <v>2456.7</v>
      </c>
      <c r="F32" s="82">
        <f t="shared" si="0"/>
        <v>-1.2580385852090104</v>
      </c>
      <c r="G32" s="74">
        <f>G33+SUM(G35:G42)</f>
        <v>792</v>
      </c>
      <c r="H32" s="74">
        <f>SUM(H33,H35:H42)</f>
        <v>785</v>
      </c>
      <c r="I32" s="75">
        <f>(H32-G32)/G32*100</f>
        <v>-0.8838383838383838</v>
      </c>
      <c r="J32" s="83">
        <f>SUM(J33:J42)</f>
        <v>20573</v>
      </c>
      <c r="K32" s="83">
        <f>K33+SUM(K35:K42)</f>
        <v>28839</v>
      </c>
      <c r="L32" s="75">
        <f>(K32-J32)/J32*100</f>
        <v>40.17887522480922</v>
      </c>
      <c r="M32" s="75">
        <f>SUM(M33:M42)</f>
        <v>6578.4</v>
      </c>
      <c r="N32" s="75">
        <f>SUM(N33:N42)</f>
        <v>6594.7</v>
      </c>
      <c r="O32" s="77">
        <f>(N32-M32)/M32*100</f>
        <v>0.24778061534719967</v>
      </c>
      <c r="P32" s="24"/>
      <c r="Q32" s="1"/>
    </row>
    <row r="33" spans="1:17" ht="37.5">
      <c r="A33" s="3"/>
      <c r="B33" s="5" t="s">
        <v>30</v>
      </c>
      <c r="C33" s="81" t="s">
        <v>12</v>
      </c>
      <c r="D33" s="90">
        <v>1293</v>
      </c>
      <c r="E33" s="85">
        <v>1284.7</v>
      </c>
      <c r="F33" s="86">
        <f t="shared" si="0"/>
        <v>-0.6419180201082718</v>
      </c>
      <c r="G33" s="76">
        <v>269</v>
      </c>
      <c r="H33" s="76">
        <v>269</v>
      </c>
      <c r="I33" s="71">
        <f>(H33-G33)/G33*100</f>
        <v>0</v>
      </c>
      <c r="J33" s="90">
        <v>11398</v>
      </c>
      <c r="K33" s="90">
        <v>16910</v>
      </c>
      <c r="L33" s="71">
        <f>(K33-J33)/J33*100</f>
        <v>48.35936129145464</v>
      </c>
      <c r="M33" s="76">
        <v>2498.9</v>
      </c>
      <c r="N33" s="76">
        <v>2465.6</v>
      </c>
      <c r="O33" s="79">
        <f>(N33-M33)/M33*100</f>
        <v>-1.3325863379887222</v>
      </c>
      <c r="P33" s="24"/>
      <c r="Q33" s="1"/>
    </row>
    <row r="34" spans="1:17" ht="18.75">
      <c r="A34" s="3"/>
      <c r="B34" s="5" t="s">
        <v>31</v>
      </c>
      <c r="C34" s="81"/>
      <c r="D34" s="87"/>
      <c r="E34" s="85"/>
      <c r="F34" s="86"/>
      <c r="G34" s="76"/>
      <c r="H34" s="76"/>
      <c r="I34" s="71"/>
      <c r="J34" s="90"/>
      <c r="K34" s="90"/>
      <c r="L34" s="71"/>
      <c r="M34" s="76"/>
      <c r="N34" s="76"/>
      <c r="O34" s="71"/>
      <c r="P34" s="24"/>
      <c r="Q34" s="1"/>
    </row>
    <row r="35" spans="1:17" ht="18.75">
      <c r="A35" s="3"/>
      <c r="B35" s="5" t="s">
        <v>32</v>
      </c>
      <c r="C35" s="81" t="s">
        <v>12</v>
      </c>
      <c r="D35" s="91">
        <v>0</v>
      </c>
      <c r="E35" s="85">
        <v>0</v>
      </c>
      <c r="F35" s="86">
        <v>0</v>
      </c>
      <c r="G35" s="76">
        <v>0</v>
      </c>
      <c r="H35" s="76">
        <v>0</v>
      </c>
      <c r="I35" s="71">
        <v>0</v>
      </c>
      <c r="J35" s="90">
        <v>0</v>
      </c>
      <c r="K35" s="90">
        <v>0</v>
      </c>
      <c r="L35" s="71">
        <v>0</v>
      </c>
      <c r="M35" s="79">
        <v>0</v>
      </c>
      <c r="N35" s="79">
        <v>0</v>
      </c>
      <c r="O35" s="79">
        <v>0</v>
      </c>
      <c r="P35" s="24"/>
      <c r="Q35" s="1"/>
    </row>
    <row r="36" spans="1:17" ht="18.75">
      <c r="A36" s="3"/>
      <c r="B36" s="5" t="s">
        <v>24</v>
      </c>
      <c r="C36" s="81" t="s">
        <v>33</v>
      </c>
      <c r="D36" s="87">
        <v>920</v>
      </c>
      <c r="E36" s="85">
        <v>915.7</v>
      </c>
      <c r="F36" s="86">
        <f t="shared" si="0"/>
        <v>-0.46739130434782117</v>
      </c>
      <c r="G36" s="76">
        <v>337</v>
      </c>
      <c r="H36" s="76">
        <v>342</v>
      </c>
      <c r="I36" s="71">
        <f>(H36-G36)/G36*100</f>
        <v>1.483679525222552</v>
      </c>
      <c r="J36" s="90">
        <v>406</v>
      </c>
      <c r="K36" s="90">
        <v>926</v>
      </c>
      <c r="L36" s="71">
        <f>(K36-J36)/J36*100</f>
        <v>128.07881773399015</v>
      </c>
      <c r="M36" s="76">
        <v>1453.4</v>
      </c>
      <c r="N36" s="76">
        <v>1452.5</v>
      </c>
      <c r="O36" s="79">
        <f aca="true" t="shared" si="4" ref="O36:O45">(N36-M36)/M36*100</f>
        <v>-0.06192376496491612</v>
      </c>
      <c r="P36" s="24"/>
      <c r="Q36" s="1"/>
    </row>
    <row r="37" spans="1:17" ht="18.75">
      <c r="A37" s="3"/>
      <c r="B37" s="5" t="s">
        <v>34</v>
      </c>
      <c r="C37" s="81" t="s">
        <v>33</v>
      </c>
      <c r="D37" s="91">
        <v>0</v>
      </c>
      <c r="E37" s="85">
        <v>0</v>
      </c>
      <c r="F37" s="86">
        <v>0</v>
      </c>
      <c r="G37" s="71">
        <v>0</v>
      </c>
      <c r="H37" s="71">
        <v>0</v>
      </c>
      <c r="I37" s="71">
        <v>0</v>
      </c>
      <c r="J37" s="90">
        <v>0</v>
      </c>
      <c r="K37" s="90">
        <v>0</v>
      </c>
      <c r="L37" s="71">
        <v>0</v>
      </c>
      <c r="M37" s="71">
        <v>0</v>
      </c>
      <c r="N37" s="71">
        <v>0</v>
      </c>
      <c r="O37" s="79">
        <v>0</v>
      </c>
      <c r="P37" s="24"/>
      <c r="Q37" s="1"/>
    </row>
    <row r="38" spans="1:17" ht="18.75">
      <c r="A38" s="3"/>
      <c r="B38" s="5" t="s">
        <v>35</v>
      </c>
      <c r="C38" s="81" t="s">
        <v>33</v>
      </c>
      <c r="D38" s="87">
        <v>0</v>
      </c>
      <c r="E38" s="85">
        <v>0</v>
      </c>
      <c r="F38" s="86">
        <v>0</v>
      </c>
      <c r="G38" s="71">
        <v>0</v>
      </c>
      <c r="H38" s="71">
        <v>0</v>
      </c>
      <c r="I38" s="71">
        <v>0</v>
      </c>
      <c r="J38" s="90">
        <v>161</v>
      </c>
      <c r="K38" s="90">
        <v>325</v>
      </c>
      <c r="L38" s="71">
        <f>(K38-J38)/J38*100</f>
        <v>101.86335403726707</v>
      </c>
      <c r="M38" s="76">
        <v>2626.1</v>
      </c>
      <c r="N38" s="76">
        <v>2676.6</v>
      </c>
      <c r="O38" s="79">
        <f t="shared" si="4"/>
        <v>1.923003693690263</v>
      </c>
      <c r="P38" s="24"/>
      <c r="Q38" s="1"/>
    </row>
    <row r="39" spans="1:17" ht="18.75">
      <c r="A39" s="3"/>
      <c r="B39" s="5" t="s">
        <v>36</v>
      </c>
      <c r="C39" s="81" t="s">
        <v>33</v>
      </c>
      <c r="D39" s="87">
        <v>0</v>
      </c>
      <c r="E39" s="85">
        <v>0</v>
      </c>
      <c r="F39" s="86">
        <v>0</v>
      </c>
      <c r="G39" s="71">
        <v>3</v>
      </c>
      <c r="H39" s="71">
        <v>0</v>
      </c>
      <c r="I39" s="71">
        <v>0</v>
      </c>
      <c r="J39" s="90">
        <v>649</v>
      </c>
      <c r="K39" s="90">
        <v>1449</v>
      </c>
      <c r="L39" s="71">
        <f>(K39-J39)/J39*100</f>
        <v>123.26656394453003</v>
      </c>
      <c r="M39" s="76">
        <v>0</v>
      </c>
      <c r="N39" s="76">
        <v>0</v>
      </c>
      <c r="O39" s="79">
        <v>0</v>
      </c>
      <c r="P39" s="24"/>
      <c r="Q39" s="1"/>
    </row>
    <row r="40" spans="1:17" ht="18.75">
      <c r="A40" s="3"/>
      <c r="B40" s="5" t="s">
        <v>37</v>
      </c>
      <c r="C40" s="81" t="s">
        <v>12</v>
      </c>
      <c r="D40" s="91">
        <v>0</v>
      </c>
      <c r="E40" s="85">
        <v>0</v>
      </c>
      <c r="F40" s="86">
        <v>0</v>
      </c>
      <c r="G40" s="71">
        <v>0</v>
      </c>
      <c r="H40" s="71">
        <v>0</v>
      </c>
      <c r="I40" s="71">
        <v>0</v>
      </c>
      <c r="J40" s="91">
        <v>0</v>
      </c>
      <c r="K40" s="91">
        <v>0</v>
      </c>
      <c r="L40" s="71">
        <v>0</v>
      </c>
      <c r="M40" s="79">
        <v>0</v>
      </c>
      <c r="N40" s="79">
        <v>0</v>
      </c>
      <c r="O40" s="79">
        <v>0</v>
      </c>
      <c r="P40" s="17"/>
      <c r="Q40" s="1"/>
    </row>
    <row r="41" spans="1:17" ht="18.75">
      <c r="A41" s="3"/>
      <c r="B41" s="5" t="s">
        <v>27</v>
      </c>
      <c r="C41" s="81" t="s">
        <v>12</v>
      </c>
      <c r="D41" s="87">
        <v>0</v>
      </c>
      <c r="E41" s="85">
        <v>0</v>
      </c>
      <c r="F41" s="86">
        <v>0</v>
      </c>
      <c r="G41" s="71">
        <v>0</v>
      </c>
      <c r="H41" s="71">
        <v>0</v>
      </c>
      <c r="I41" s="71">
        <v>0</v>
      </c>
      <c r="J41" s="91">
        <v>0</v>
      </c>
      <c r="K41" s="91">
        <v>0</v>
      </c>
      <c r="L41" s="71">
        <v>0</v>
      </c>
      <c r="M41" s="79">
        <v>0</v>
      </c>
      <c r="N41" s="79">
        <v>0</v>
      </c>
      <c r="O41" s="79">
        <v>0</v>
      </c>
      <c r="P41" s="17"/>
      <c r="Q41" s="1"/>
    </row>
    <row r="42" spans="1:17" ht="18.75">
      <c r="A42" s="3"/>
      <c r="B42" s="5" t="s">
        <v>38</v>
      </c>
      <c r="C42" s="81" t="s">
        <v>12</v>
      </c>
      <c r="D42" s="87">
        <v>275</v>
      </c>
      <c r="E42" s="85">
        <v>256.3</v>
      </c>
      <c r="F42" s="86">
        <f t="shared" si="0"/>
        <v>-6.799999999999996</v>
      </c>
      <c r="G42" s="76">
        <v>183</v>
      </c>
      <c r="H42" s="76">
        <v>174</v>
      </c>
      <c r="I42" s="71">
        <f>(H42-G42)/G42*100</f>
        <v>-4.918032786885246</v>
      </c>
      <c r="J42" s="90">
        <v>7959</v>
      </c>
      <c r="K42" s="90">
        <v>9229</v>
      </c>
      <c r="L42" s="71">
        <f>(K42-J42)/J42*100</f>
        <v>15.956778489760021</v>
      </c>
      <c r="M42" s="76">
        <v>0</v>
      </c>
      <c r="N42" s="76">
        <v>0</v>
      </c>
      <c r="O42" s="79">
        <v>0</v>
      </c>
      <c r="P42" s="24"/>
      <c r="Q42" s="1"/>
    </row>
    <row r="43" spans="1:17" ht="18.75">
      <c r="A43" s="3">
        <v>6</v>
      </c>
      <c r="B43" s="6" t="s">
        <v>58</v>
      </c>
      <c r="C43" s="81" t="s">
        <v>39</v>
      </c>
      <c r="D43" s="92">
        <v>4</v>
      </c>
      <c r="E43" s="93">
        <v>2</v>
      </c>
      <c r="F43" s="86">
        <f t="shared" si="0"/>
        <v>-50</v>
      </c>
      <c r="G43" s="94">
        <v>4</v>
      </c>
      <c r="H43" s="94">
        <v>2</v>
      </c>
      <c r="I43" s="75">
        <f>(H43-G43)/G43*100</f>
        <v>-50</v>
      </c>
      <c r="J43" s="95">
        <v>324</v>
      </c>
      <c r="K43" s="95">
        <v>344</v>
      </c>
      <c r="L43" s="75">
        <f>(K43-J43)/J43*100</f>
        <v>6.172839506172839</v>
      </c>
      <c r="M43" s="96">
        <v>1</v>
      </c>
      <c r="N43" s="96">
        <v>1</v>
      </c>
      <c r="O43" s="79">
        <f t="shared" si="4"/>
        <v>0</v>
      </c>
      <c r="P43" s="24"/>
      <c r="Q43" s="1"/>
    </row>
    <row r="44" spans="1:17" ht="18.75">
      <c r="A44" s="3"/>
      <c r="B44" s="7" t="s">
        <v>40</v>
      </c>
      <c r="C44" s="81" t="s">
        <v>39</v>
      </c>
      <c r="D44" s="92">
        <v>1</v>
      </c>
      <c r="E44" s="93">
        <v>1</v>
      </c>
      <c r="F44" s="86">
        <f t="shared" si="0"/>
        <v>0</v>
      </c>
      <c r="G44" s="78">
        <v>2</v>
      </c>
      <c r="H44" s="78">
        <v>2</v>
      </c>
      <c r="I44" s="71">
        <f>(H44-G44)/G44*100</f>
        <v>0</v>
      </c>
      <c r="J44" s="97">
        <v>21</v>
      </c>
      <c r="K44" s="97">
        <v>29</v>
      </c>
      <c r="L44" s="71">
        <f>(K44-J44)/J44*100</f>
        <v>38.095238095238095</v>
      </c>
      <c r="M44" s="96">
        <v>1</v>
      </c>
      <c r="N44" s="96">
        <v>1</v>
      </c>
      <c r="O44" s="79">
        <f t="shared" si="4"/>
        <v>0</v>
      </c>
      <c r="P44" s="24"/>
      <c r="Q44" s="1"/>
    </row>
    <row r="45" spans="1:17" ht="18.75">
      <c r="A45" s="3">
        <v>7</v>
      </c>
      <c r="B45" s="6" t="s">
        <v>41</v>
      </c>
      <c r="C45" s="81" t="s">
        <v>33</v>
      </c>
      <c r="D45" s="98">
        <v>151</v>
      </c>
      <c r="E45" s="89">
        <v>48.5</v>
      </c>
      <c r="F45" s="82">
        <f t="shared" si="0"/>
        <v>-67.88079470198676</v>
      </c>
      <c r="G45" s="77">
        <v>191</v>
      </c>
      <c r="H45" s="77">
        <v>58</v>
      </c>
      <c r="I45" s="75">
        <f>(H45-G45)/G45*100</f>
        <v>-69.63350785340315</v>
      </c>
      <c r="J45" s="99">
        <v>15240</v>
      </c>
      <c r="K45" s="99">
        <v>21551</v>
      </c>
      <c r="L45" s="75">
        <f>(K45-J45)/J45*100</f>
        <v>41.41076115485564</v>
      </c>
      <c r="M45" s="75">
        <v>90.1</v>
      </c>
      <c r="N45" s="75">
        <v>49.3</v>
      </c>
      <c r="O45" s="79">
        <f t="shared" si="4"/>
        <v>-45.28301886792453</v>
      </c>
      <c r="P45" s="24"/>
      <c r="Q45" s="1"/>
    </row>
    <row r="46" spans="1:17" ht="18.75">
      <c r="A46" s="3">
        <v>8</v>
      </c>
      <c r="B46" s="6" t="s">
        <v>42</v>
      </c>
      <c r="C46" s="100"/>
      <c r="D46" s="101"/>
      <c r="E46" s="85"/>
      <c r="F46" s="86"/>
      <c r="G46" s="79"/>
      <c r="H46" s="79"/>
      <c r="I46" s="71"/>
      <c r="J46" s="91"/>
      <c r="K46" s="91"/>
      <c r="L46" s="71"/>
      <c r="M46" s="102"/>
      <c r="N46" s="102"/>
      <c r="O46" s="71"/>
      <c r="P46" s="24"/>
      <c r="Q46" s="1"/>
    </row>
    <row r="47" spans="1:17" ht="18.75">
      <c r="A47" s="3"/>
      <c r="B47" s="7" t="s">
        <v>43</v>
      </c>
      <c r="C47" s="81" t="s">
        <v>44</v>
      </c>
      <c r="D47" s="101">
        <v>9214.97</v>
      </c>
      <c r="E47" s="85">
        <v>3173</v>
      </c>
      <c r="F47" s="86">
        <f>(E47-D47)/D47*100</f>
        <v>-65.56689821019494</v>
      </c>
      <c r="G47" s="79">
        <v>8600</v>
      </c>
      <c r="H47" s="79">
        <v>3900</v>
      </c>
      <c r="I47" s="71">
        <f>(H47-G47)/G47*100</f>
        <v>-54.65116279069767</v>
      </c>
      <c r="J47" s="91">
        <v>3806</v>
      </c>
      <c r="K47" s="91">
        <v>5221</v>
      </c>
      <c r="L47" s="71">
        <f>(K47-J47)/J47*100</f>
        <v>37.17813977929585</v>
      </c>
      <c r="M47" s="79">
        <v>9412.18</v>
      </c>
      <c r="N47" s="79">
        <v>4105.62</v>
      </c>
      <c r="O47" s="79">
        <f>(N47-M47)/M47*100</f>
        <v>-56.379712245197176</v>
      </c>
      <c r="P47" s="24"/>
      <c r="Q47" s="1"/>
    </row>
    <row r="48" spans="1:17" ht="18.75">
      <c r="A48" s="3"/>
      <c r="B48" s="7" t="s">
        <v>45</v>
      </c>
      <c r="C48" s="81" t="s">
        <v>44</v>
      </c>
      <c r="D48" s="101">
        <v>9214.97</v>
      </c>
      <c r="E48" s="85">
        <v>3173</v>
      </c>
      <c r="F48" s="86">
        <f>(E48-D48)/D48*100</f>
        <v>-65.56689821019494</v>
      </c>
      <c r="G48" s="79">
        <v>8600</v>
      </c>
      <c r="H48" s="79">
        <v>3900</v>
      </c>
      <c r="I48" s="71">
        <f>(H48-G48)/G48*100</f>
        <v>-54.65116279069767</v>
      </c>
      <c r="J48" s="91">
        <v>12156</v>
      </c>
      <c r="K48" s="91">
        <v>15898</v>
      </c>
      <c r="L48" s="71">
        <f>(K48-J48)/J48*100</f>
        <v>30.783152352747617</v>
      </c>
      <c r="M48" s="79">
        <v>9412.18</v>
      </c>
      <c r="N48" s="79">
        <v>4105.62</v>
      </c>
      <c r="O48" s="79">
        <f>(N48-M48)/M48*100</f>
        <v>-56.379712245197176</v>
      </c>
      <c r="P48" s="24"/>
      <c r="Q48" s="1"/>
    </row>
    <row r="49" spans="1:18" ht="18.75">
      <c r="A49" s="3">
        <v>9</v>
      </c>
      <c r="B49" s="6" t="s">
        <v>46</v>
      </c>
      <c r="C49" s="81" t="s">
        <v>47</v>
      </c>
      <c r="D49" s="91">
        <v>0</v>
      </c>
      <c r="E49" s="85">
        <v>0</v>
      </c>
      <c r="F49" s="86">
        <v>0</v>
      </c>
      <c r="G49" s="79">
        <v>0</v>
      </c>
      <c r="H49" s="79">
        <v>0</v>
      </c>
      <c r="I49" s="79"/>
      <c r="J49" s="91">
        <f>J12/J10*100</f>
        <v>15.100711615004222</v>
      </c>
      <c r="K49" s="91">
        <f>K12/K10*100</f>
        <v>13.00648109292675</v>
      </c>
      <c r="L49" s="103"/>
      <c r="M49" s="79">
        <v>0</v>
      </c>
      <c r="N49" s="79">
        <v>0</v>
      </c>
      <c r="O49" s="71"/>
      <c r="P49" s="24"/>
      <c r="Q49" s="1"/>
      <c r="R49" s="1"/>
    </row>
    <row r="50" spans="1:18" ht="18.75">
      <c r="A50" s="3">
        <v>10</v>
      </c>
      <c r="B50" s="6" t="s">
        <v>48</v>
      </c>
      <c r="C50" s="81" t="s">
        <v>47</v>
      </c>
      <c r="D50" s="91">
        <v>0</v>
      </c>
      <c r="E50" s="85">
        <v>0</v>
      </c>
      <c r="F50" s="86">
        <v>0</v>
      </c>
      <c r="G50" s="79">
        <v>0</v>
      </c>
      <c r="H50" s="79">
        <v>0</v>
      </c>
      <c r="I50" s="79"/>
      <c r="J50" s="91">
        <f>1529/1119725*100</f>
        <v>0.13655138538480432</v>
      </c>
      <c r="K50" s="91">
        <f>6804/1221090*100</f>
        <v>0.5572070854728153</v>
      </c>
      <c r="L50" s="103"/>
      <c r="M50" s="79">
        <v>0</v>
      </c>
      <c r="N50" s="79">
        <v>0</v>
      </c>
      <c r="O50" s="71"/>
      <c r="P50" s="24"/>
      <c r="Q50" s="1"/>
      <c r="R50" s="1"/>
    </row>
    <row r="51" spans="1:17" ht="18.75">
      <c r="A51" s="8"/>
      <c r="B51" s="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80"/>
      <c r="P51" s="25"/>
      <c r="Q51" s="1"/>
    </row>
    <row r="52" spans="1:17" ht="54" customHeight="1">
      <c r="A52" s="137" t="s">
        <v>2</v>
      </c>
      <c r="B52" s="144" t="s">
        <v>3</v>
      </c>
      <c r="C52" s="142"/>
      <c r="D52" s="134" t="s">
        <v>55</v>
      </c>
      <c r="E52" s="135"/>
      <c r="F52" s="136"/>
      <c r="G52" s="133" t="s">
        <v>56</v>
      </c>
      <c r="H52" s="133"/>
      <c r="I52" s="133"/>
      <c r="J52" s="134" t="s">
        <v>51</v>
      </c>
      <c r="K52" s="135"/>
      <c r="L52" s="136"/>
      <c r="M52" s="133" t="s">
        <v>69</v>
      </c>
      <c r="N52" s="133"/>
      <c r="O52" s="133"/>
      <c r="P52" s="28"/>
      <c r="Q52" s="1"/>
    </row>
    <row r="53" spans="1:17" ht="17.25" customHeight="1">
      <c r="A53" s="138"/>
      <c r="B53" s="145"/>
      <c r="C53" s="143"/>
      <c r="D53" s="73" t="s">
        <v>73</v>
      </c>
      <c r="E53" s="66" t="s">
        <v>77</v>
      </c>
      <c r="F53" s="66" t="s">
        <v>5</v>
      </c>
      <c r="G53" s="73" t="s">
        <v>73</v>
      </c>
      <c r="H53" s="66" t="s">
        <v>77</v>
      </c>
      <c r="I53" s="66" t="s">
        <v>5</v>
      </c>
      <c r="J53" s="66" t="s">
        <v>73</v>
      </c>
      <c r="K53" s="66" t="s">
        <v>77</v>
      </c>
      <c r="L53" s="66" t="s">
        <v>5</v>
      </c>
      <c r="M53" s="73" t="s">
        <v>73</v>
      </c>
      <c r="N53" s="66" t="s">
        <v>77</v>
      </c>
      <c r="O53" s="66" t="s">
        <v>5</v>
      </c>
      <c r="P53" s="25"/>
      <c r="Q53" s="1"/>
    </row>
    <row r="54" spans="1:17" ht="37.5">
      <c r="A54" s="3">
        <v>1</v>
      </c>
      <c r="B54" s="4" t="s">
        <v>71</v>
      </c>
      <c r="C54" s="104" t="s">
        <v>6</v>
      </c>
      <c r="D54" s="74">
        <v>1304.8</v>
      </c>
      <c r="E54" s="74">
        <v>1235.1</v>
      </c>
      <c r="F54" s="75">
        <f>(E54-D54)/D54*100</f>
        <v>-5.341814837522996</v>
      </c>
      <c r="G54" s="74">
        <v>612.8</v>
      </c>
      <c r="H54" s="74">
        <v>829.1</v>
      </c>
      <c r="I54" s="105">
        <f>(H54-G54)/G54*100</f>
        <v>35.296997389033955</v>
      </c>
      <c r="J54" s="74">
        <v>3084</v>
      </c>
      <c r="K54" s="74">
        <v>5951</v>
      </c>
      <c r="L54" s="75">
        <f>(K54-J54)/J54*100</f>
        <v>92.96368352788586</v>
      </c>
      <c r="M54" s="74">
        <v>9491</v>
      </c>
      <c r="N54" s="74">
        <v>16128</v>
      </c>
      <c r="O54" s="75">
        <f>(N54-M54)/M54*100</f>
        <v>69.92940680644821</v>
      </c>
      <c r="P54" s="28"/>
      <c r="Q54" s="1"/>
    </row>
    <row r="55" spans="1:17" ht="18.75">
      <c r="A55" s="3"/>
      <c r="B55" s="5" t="s">
        <v>7</v>
      </c>
      <c r="C55" s="104"/>
      <c r="D55" s="76"/>
      <c r="E55" s="76"/>
      <c r="F55" s="71"/>
      <c r="G55" s="76"/>
      <c r="H55" s="76"/>
      <c r="I55" s="106"/>
      <c r="J55" s="76"/>
      <c r="K55" s="76"/>
      <c r="L55" s="71"/>
      <c r="M55" s="76"/>
      <c r="N55" s="76"/>
      <c r="O55" s="71"/>
      <c r="P55" s="23"/>
      <c r="Q55" s="1"/>
    </row>
    <row r="56" spans="1:17" ht="18.75">
      <c r="A56" s="3"/>
      <c r="B56" s="5" t="s">
        <v>8</v>
      </c>
      <c r="C56" s="104" t="s">
        <v>6</v>
      </c>
      <c r="D56" s="76">
        <v>66.1</v>
      </c>
      <c r="E56" s="76" t="s">
        <v>61</v>
      </c>
      <c r="F56" s="71" t="s">
        <v>61</v>
      </c>
      <c r="G56" s="76">
        <v>114.8</v>
      </c>
      <c r="H56" s="76">
        <v>96.7</v>
      </c>
      <c r="I56" s="106">
        <f>(H56-G56)/G56*100</f>
        <v>-15.766550522648078</v>
      </c>
      <c r="J56" s="76">
        <v>237</v>
      </c>
      <c r="K56" s="76">
        <v>300</v>
      </c>
      <c r="L56" s="71" t="s">
        <v>61</v>
      </c>
      <c r="M56" s="76">
        <v>2181</v>
      </c>
      <c r="N56" s="76">
        <v>5142</v>
      </c>
      <c r="O56" s="71" t="s">
        <v>61</v>
      </c>
      <c r="P56" s="24"/>
      <c r="Q56" s="1"/>
    </row>
    <row r="57" spans="1:17" ht="18.75">
      <c r="A57" s="3"/>
      <c r="B57" s="5" t="s">
        <v>9</v>
      </c>
      <c r="C57" s="104" t="s">
        <v>6</v>
      </c>
      <c r="D57" s="76" t="s">
        <v>61</v>
      </c>
      <c r="E57" s="76">
        <v>154.7</v>
      </c>
      <c r="F57" s="71" t="s">
        <v>61</v>
      </c>
      <c r="G57" s="76"/>
      <c r="H57" s="76"/>
      <c r="I57" s="106" t="s">
        <v>61</v>
      </c>
      <c r="J57" s="76"/>
      <c r="K57" s="76"/>
      <c r="L57" s="71" t="s">
        <v>61</v>
      </c>
      <c r="M57" s="76"/>
      <c r="N57" s="76"/>
      <c r="O57" s="71" t="s">
        <v>61</v>
      </c>
      <c r="P57" s="24"/>
      <c r="Q57" s="1"/>
    </row>
    <row r="58" spans="1:17" ht="18.75">
      <c r="A58" s="3">
        <v>2</v>
      </c>
      <c r="B58" s="4" t="s">
        <v>10</v>
      </c>
      <c r="C58" s="104"/>
      <c r="D58" s="76"/>
      <c r="E58" s="76"/>
      <c r="F58" s="71"/>
      <c r="G58" s="76"/>
      <c r="H58" s="76"/>
      <c r="I58" s="106"/>
      <c r="J58" s="76"/>
      <c r="K58" s="76"/>
      <c r="L58" s="71"/>
      <c r="M58" s="76"/>
      <c r="N58" s="76"/>
      <c r="O58" s="71"/>
      <c r="P58" s="24"/>
      <c r="Q58" s="1"/>
    </row>
    <row r="59" spans="1:17" ht="18.75">
      <c r="A59" s="3"/>
      <c r="B59" s="5" t="s">
        <v>11</v>
      </c>
      <c r="C59" s="104" t="s">
        <v>12</v>
      </c>
      <c r="D59" s="76">
        <v>1031.6</v>
      </c>
      <c r="E59" s="76">
        <v>996.3</v>
      </c>
      <c r="F59" s="71">
        <f aca="true" t="shared" si="5" ref="F59:F69">(E59-D59)/D59*100</f>
        <v>-3.42186894145017</v>
      </c>
      <c r="G59" s="76">
        <v>54.9</v>
      </c>
      <c r="H59" s="76">
        <v>46.3</v>
      </c>
      <c r="I59" s="71">
        <f aca="true" t="shared" si="6" ref="I59:I68">(H59-G59)/G59*100</f>
        <v>-15.664845173041897</v>
      </c>
      <c r="J59" s="76">
        <v>23638</v>
      </c>
      <c r="K59" s="76">
        <v>27837</v>
      </c>
      <c r="L59" s="71">
        <f>(K59-J59)/J59*100</f>
        <v>17.76377020052458</v>
      </c>
      <c r="M59" s="76">
        <v>606</v>
      </c>
      <c r="N59" s="76">
        <v>2471</v>
      </c>
      <c r="O59" s="71">
        <f>(N59-M59)/M59*100</f>
        <v>307.75577557755776</v>
      </c>
      <c r="P59" s="24"/>
      <c r="Q59" s="1"/>
    </row>
    <row r="60" spans="1:17" ht="18.75">
      <c r="A60" s="3"/>
      <c r="B60" s="5" t="s">
        <v>13</v>
      </c>
      <c r="C60" s="104" t="s">
        <v>12</v>
      </c>
      <c r="D60" s="76">
        <v>1979.3</v>
      </c>
      <c r="E60" s="76">
        <v>1974.5</v>
      </c>
      <c r="F60" s="71">
        <f t="shared" si="5"/>
        <v>-0.24250997827514548</v>
      </c>
      <c r="G60" s="76">
        <v>358.9</v>
      </c>
      <c r="H60" s="76">
        <v>307</v>
      </c>
      <c r="I60" s="71">
        <f t="shared" si="6"/>
        <v>-14.460852605182497</v>
      </c>
      <c r="J60" s="76">
        <v>28144</v>
      </c>
      <c r="K60" s="76">
        <v>32935</v>
      </c>
      <c r="L60" s="71">
        <f>(K60-J60)/J60*100</f>
        <v>17.023166571915862</v>
      </c>
      <c r="M60" s="76">
        <v>1964</v>
      </c>
      <c r="N60" s="76">
        <v>3998</v>
      </c>
      <c r="O60" s="71">
        <f>(N60-M60)/M60*100</f>
        <v>103.56415478615071</v>
      </c>
      <c r="P60" s="24"/>
      <c r="Q60" s="1"/>
    </row>
    <row r="61" spans="1:17" ht="18.75">
      <c r="A61" s="3"/>
      <c r="B61" s="5" t="s">
        <v>14</v>
      </c>
      <c r="C61" s="104" t="s">
        <v>12</v>
      </c>
      <c r="D61" s="76">
        <v>947.7</v>
      </c>
      <c r="E61" s="76">
        <v>978.2</v>
      </c>
      <c r="F61" s="71">
        <f t="shared" si="5"/>
        <v>3.2183180331328476</v>
      </c>
      <c r="G61" s="76">
        <v>304</v>
      </c>
      <c r="H61" s="76">
        <v>260.7</v>
      </c>
      <c r="I61" s="71">
        <f t="shared" si="6"/>
        <v>-14.243421052631582</v>
      </c>
      <c r="J61" s="76">
        <v>4506</v>
      </c>
      <c r="K61" s="76">
        <v>5098</v>
      </c>
      <c r="L61" s="71">
        <f>(K61-J61)/J61*100</f>
        <v>13.138038171327118</v>
      </c>
      <c r="M61" s="76">
        <v>1358</v>
      </c>
      <c r="N61" s="76">
        <v>1527</v>
      </c>
      <c r="O61" s="71">
        <f>(N61-M61)/M61*100</f>
        <v>12.444771723122239</v>
      </c>
      <c r="P61" s="24"/>
      <c r="Q61" s="1"/>
    </row>
    <row r="62" spans="1:17" ht="18.75">
      <c r="A62" s="3">
        <v>3</v>
      </c>
      <c r="B62" s="4" t="s">
        <v>15</v>
      </c>
      <c r="C62" s="104" t="s">
        <v>12</v>
      </c>
      <c r="D62" s="74">
        <f>SUM(D63:D67)</f>
        <v>1286.1</v>
      </c>
      <c r="E62" s="74">
        <f>SUM(E63:E67)</f>
        <v>1463.6</v>
      </c>
      <c r="F62" s="75">
        <f t="shared" si="5"/>
        <v>13.80141513101625</v>
      </c>
      <c r="G62" s="74">
        <f>SUM(G63:G67)</f>
        <v>472.79999999999995</v>
      </c>
      <c r="H62" s="74">
        <f>SUM(H63:H67)</f>
        <v>679.4000000000001</v>
      </c>
      <c r="I62" s="105">
        <f t="shared" si="6"/>
        <v>43.69712351945858</v>
      </c>
      <c r="J62" s="74">
        <f>SUM(J63:J67)</f>
        <v>9175</v>
      </c>
      <c r="K62" s="74">
        <f>SUM(K63:K67)</f>
        <v>12973</v>
      </c>
      <c r="L62" s="77">
        <f>(K62-J62)/J62*100</f>
        <v>41.39509536784741</v>
      </c>
      <c r="M62" s="74">
        <f>SUM(M63:M67)</f>
        <v>9554</v>
      </c>
      <c r="N62" s="74">
        <f>SUM(N63:N67)</f>
        <v>13399</v>
      </c>
      <c r="O62" s="77">
        <f>(N62-M62)/M62*100</f>
        <v>40.244923592212686</v>
      </c>
      <c r="P62" s="24"/>
      <c r="Q62" s="1"/>
    </row>
    <row r="63" spans="1:17" ht="18.75">
      <c r="A63" s="3"/>
      <c r="B63" s="5" t="s">
        <v>16</v>
      </c>
      <c r="C63" s="104" t="s">
        <v>12</v>
      </c>
      <c r="D63" s="76">
        <v>149.9</v>
      </c>
      <c r="E63" s="76">
        <v>169.2</v>
      </c>
      <c r="F63" s="71">
        <f t="shared" si="5"/>
        <v>12.87525016677784</v>
      </c>
      <c r="G63" s="76">
        <v>17.4</v>
      </c>
      <c r="H63" s="76">
        <v>24.4</v>
      </c>
      <c r="I63" s="71">
        <f t="shared" si="6"/>
        <v>40.229885057471265</v>
      </c>
      <c r="J63" s="76">
        <v>2275</v>
      </c>
      <c r="K63" s="76">
        <v>2353</v>
      </c>
      <c r="L63" s="71">
        <f aca="true" t="shared" si="7" ref="L63:L92">(K63-J63)/J63*100</f>
        <v>3.428571428571429</v>
      </c>
      <c r="M63" s="107">
        <v>1662</v>
      </c>
      <c r="N63" s="107">
        <v>2030</v>
      </c>
      <c r="O63" s="71">
        <f aca="true" t="shared" si="8" ref="O63:O92">(N63-M63)/M63*100</f>
        <v>22.14199759326113</v>
      </c>
      <c r="P63" s="24"/>
      <c r="Q63" s="1"/>
    </row>
    <row r="64" spans="1:17" ht="18.75">
      <c r="A64" s="3"/>
      <c r="B64" s="5" t="s">
        <v>17</v>
      </c>
      <c r="C64" s="104" t="s">
        <v>12</v>
      </c>
      <c r="D64" s="76">
        <v>796.3</v>
      </c>
      <c r="E64" s="76">
        <v>921.3</v>
      </c>
      <c r="F64" s="71">
        <f t="shared" si="5"/>
        <v>15.697601406505088</v>
      </c>
      <c r="G64" s="76">
        <v>308.5</v>
      </c>
      <c r="H64" s="76">
        <v>471.4</v>
      </c>
      <c r="I64" s="71">
        <f t="shared" si="6"/>
        <v>52.80388978930307</v>
      </c>
      <c r="J64" s="76">
        <v>4979</v>
      </c>
      <c r="K64" s="76">
        <v>6556</v>
      </c>
      <c r="L64" s="71">
        <f t="shared" si="7"/>
        <v>31.673026712191206</v>
      </c>
      <c r="M64" s="107">
        <v>6182</v>
      </c>
      <c r="N64" s="107">
        <v>8803</v>
      </c>
      <c r="O64" s="71">
        <f t="shared" si="8"/>
        <v>42.39728243286962</v>
      </c>
      <c r="P64" s="17"/>
      <c r="Q64" s="1"/>
    </row>
    <row r="65" spans="1:17" ht="18.75">
      <c r="A65" s="3"/>
      <c r="B65" s="5" t="s">
        <v>18</v>
      </c>
      <c r="C65" s="104" t="s">
        <v>12</v>
      </c>
      <c r="D65" s="76">
        <v>179.4</v>
      </c>
      <c r="E65" s="76">
        <v>217.1</v>
      </c>
      <c r="F65" s="71">
        <f t="shared" si="5"/>
        <v>21.01449275362318</v>
      </c>
      <c r="G65" s="76">
        <v>67.9</v>
      </c>
      <c r="H65" s="76">
        <v>103.7</v>
      </c>
      <c r="I65" s="71">
        <f t="shared" si="6"/>
        <v>52.72459499263622</v>
      </c>
      <c r="J65" s="76">
        <v>1067</v>
      </c>
      <c r="K65" s="76">
        <v>1399</v>
      </c>
      <c r="L65" s="71">
        <f t="shared" si="7"/>
        <v>31.115276476101215</v>
      </c>
      <c r="M65" s="107">
        <v>1321</v>
      </c>
      <c r="N65" s="107">
        <v>1896</v>
      </c>
      <c r="O65" s="71">
        <f t="shared" si="8"/>
        <v>43.527630582891746</v>
      </c>
      <c r="P65" s="24"/>
      <c r="Q65" s="1"/>
    </row>
    <row r="66" spans="1:17" ht="18.75">
      <c r="A66" s="3"/>
      <c r="B66" s="5" t="s">
        <v>19</v>
      </c>
      <c r="C66" s="104" t="s">
        <v>12</v>
      </c>
      <c r="D66" s="76">
        <v>41.4</v>
      </c>
      <c r="E66" s="76">
        <v>36.5</v>
      </c>
      <c r="F66" s="71">
        <f t="shared" si="5"/>
        <v>-11.835748792270529</v>
      </c>
      <c r="G66" s="76">
        <v>11.1</v>
      </c>
      <c r="H66" s="76">
        <v>9.7</v>
      </c>
      <c r="I66" s="71">
        <f t="shared" si="6"/>
        <v>-12.612612612612617</v>
      </c>
      <c r="J66" s="76">
        <v>597</v>
      </c>
      <c r="K66" s="76">
        <v>1331</v>
      </c>
      <c r="L66" s="71">
        <f t="shared" si="7"/>
        <v>122.94807370184256</v>
      </c>
      <c r="M66" s="107">
        <v>84</v>
      </c>
      <c r="N66" s="107">
        <v>181</v>
      </c>
      <c r="O66" s="71">
        <f t="shared" si="8"/>
        <v>115.47619047619047</v>
      </c>
      <c r="P66" s="24"/>
      <c r="Q66" s="1"/>
    </row>
    <row r="67" spans="1:17" ht="18.75">
      <c r="A67" s="3"/>
      <c r="B67" s="5" t="s">
        <v>20</v>
      </c>
      <c r="C67" s="104" t="s">
        <v>12</v>
      </c>
      <c r="D67" s="76">
        <v>119.1</v>
      </c>
      <c r="E67" s="76">
        <v>119.5</v>
      </c>
      <c r="F67" s="71">
        <f t="shared" si="5"/>
        <v>0.33585222502099554</v>
      </c>
      <c r="G67" s="76">
        <v>67.9</v>
      </c>
      <c r="H67" s="76">
        <v>70.2</v>
      </c>
      <c r="I67" s="71">
        <f t="shared" si="6"/>
        <v>3.3873343151693622</v>
      </c>
      <c r="J67" s="76">
        <v>257</v>
      </c>
      <c r="K67" s="76">
        <v>1334</v>
      </c>
      <c r="L67" s="106">
        <f t="shared" si="7"/>
        <v>419.0661478599222</v>
      </c>
      <c r="M67" s="107">
        <v>305</v>
      </c>
      <c r="N67" s="107">
        <v>489</v>
      </c>
      <c r="O67" s="106">
        <f t="shared" si="8"/>
        <v>60.32786885245902</v>
      </c>
      <c r="P67" s="24"/>
      <c r="Q67" s="1"/>
    </row>
    <row r="68" spans="1:17" ht="37.5">
      <c r="A68" s="3">
        <v>4</v>
      </c>
      <c r="B68" s="4" t="s">
        <v>21</v>
      </c>
      <c r="C68" s="104" t="s">
        <v>12</v>
      </c>
      <c r="D68" s="74">
        <v>69.5</v>
      </c>
      <c r="E68" s="74">
        <f>E69+SUM(E71:E75)</f>
        <v>64.5</v>
      </c>
      <c r="F68" s="75">
        <f t="shared" si="5"/>
        <v>-7.194244604316546</v>
      </c>
      <c r="G68" s="74">
        <v>5</v>
      </c>
      <c r="H68" s="74">
        <v>5.1</v>
      </c>
      <c r="I68" s="105">
        <f t="shared" si="6"/>
        <v>1.9999999999999927</v>
      </c>
      <c r="J68" s="74">
        <f>SUM(J69+SUM(J71:J75))</f>
        <v>947</v>
      </c>
      <c r="K68" s="74">
        <f>SUM(K69+SUM(K71:K75))</f>
        <v>1586</v>
      </c>
      <c r="L68" s="105">
        <f t="shared" si="7"/>
        <v>67.47624076029567</v>
      </c>
      <c r="M68" s="74">
        <f>SUM(M69+SUM(M71:M75))</f>
        <v>3809</v>
      </c>
      <c r="N68" s="74">
        <f>SUM(N69+SUM(N71:N75))</f>
        <v>10506</v>
      </c>
      <c r="O68" s="105">
        <f t="shared" si="8"/>
        <v>175.8204253084799</v>
      </c>
      <c r="P68" s="24"/>
      <c r="Q68" s="1"/>
    </row>
    <row r="69" spans="1:17" ht="21.75" customHeight="1">
      <c r="A69" s="3"/>
      <c r="B69" s="5" t="s">
        <v>22</v>
      </c>
      <c r="C69" s="104" t="s">
        <v>12</v>
      </c>
      <c r="D69" s="76">
        <v>28.2</v>
      </c>
      <c r="E69" s="76">
        <v>0</v>
      </c>
      <c r="F69" s="71">
        <f t="shared" si="5"/>
        <v>-100</v>
      </c>
      <c r="G69" s="76">
        <v>0</v>
      </c>
      <c r="H69" s="76">
        <v>0</v>
      </c>
      <c r="I69" s="71">
        <v>0</v>
      </c>
      <c r="J69" s="76">
        <v>882</v>
      </c>
      <c r="K69" s="76">
        <v>1383</v>
      </c>
      <c r="L69" s="106">
        <f t="shared" si="7"/>
        <v>56.80272108843537</v>
      </c>
      <c r="M69" s="107">
        <v>3653</v>
      </c>
      <c r="N69" s="107">
        <v>10331</v>
      </c>
      <c r="O69" s="106">
        <f t="shared" si="8"/>
        <v>182.80865042430878</v>
      </c>
      <c r="P69" s="24"/>
      <c r="Q69" s="1"/>
    </row>
    <row r="70" spans="1:17" ht="37.5">
      <c r="A70" s="3"/>
      <c r="B70" s="5" t="s">
        <v>23</v>
      </c>
      <c r="C70" s="104" t="s">
        <v>12</v>
      </c>
      <c r="D70" s="76"/>
      <c r="E70" s="76"/>
      <c r="F70" s="71"/>
      <c r="G70" s="76"/>
      <c r="H70" s="76"/>
      <c r="I70" s="71"/>
      <c r="J70" s="76"/>
      <c r="K70" s="76"/>
      <c r="L70" s="106"/>
      <c r="M70" s="107"/>
      <c r="N70" s="107"/>
      <c r="O70" s="106"/>
      <c r="P70" s="24"/>
      <c r="Q70" s="1"/>
    </row>
    <row r="71" spans="1:17" ht="18.75">
      <c r="A71" s="3"/>
      <c r="B71" s="5" t="s">
        <v>24</v>
      </c>
      <c r="C71" s="104" t="s">
        <v>12</v>
      </c>
      <c r="D71" s="76">
        <v>0</v>
      </c>
      <c r="E71" s="76">
        <v>24.5</v>
      </c>
      <c r="F71" s="71" t="s">
        <v>61</v>
      </c>
      <c r="G71" s="76">
        <v>1.2</v>
      </c>
      <c r="H71" s="76">
        <v>0.1</v>
      </c>
      <c r="I71" s="71">
        <f>(H71-G71)/G71*100</f>
        <v>-91.66666666666666</v>
      </c>
      <c r="J71" s="76">
        <v>17</v>
      </c>
      <c r="K71" s="76">
        <v>145</v>
      </c>
      <c r="L71" s="106">
        <f t="shared" si="7"/>
        <v>752.9411764705882</v>
      </c>
      <c r="M71" s="79">
        <v>0</v>
      </c>
      <c r="N71" s="79">
        <v>0</v>
      </c>
      <c r="O71" s="106">
        <v>0</v>
      </c>
      <c r="P71" s="24"/>
      <c r="Q71" s="1"/>
    </row>
    <row r="72" spans="1:17" ht="18.75">
      <c r="A72" s="3"/>
      <c r="B72" s="5" t="s">
        <v>25</v>
      </c>
      <c r="C72" s="104" t="s">
        <v>12</v>
      </c>
      <c r="D72" s="76">
        <v>0</v>
      </c>
      <c r="E72" s="76">
        <v>0</v>
      </c>
      <c r="F72" s="71">
        <v>0</v>
      </c>
      <c r="G72" s="71">
        <v>0</v>
      </c>
      <c r="H72" s="71">
        <v>0</v>
      </c>
      <c r="I72" s="71">
        <v>0</v>
      </c>
      <c r="J72" s="76">
        <v>28</v>
      </c>
      <c r="K72" s="76">
        <v>31</v>
      </c>
      <c r="L72" s="106">
        <f t="shared" si="7"/>
        <v>10.714285714285714</v>
      </c>
      <c r="M72" s="107">
        <v>14</v>
      </c>
      <c r="N72" s="107">
        <v>34</v>
      </c>
      <c r="O72" s="106">
        <v>0</v>
      </c>
      <c r="P72" s="24"/>
      <c r="Q72" s="1"/>
    </row>
    <row r="73" spans="1:17" ht="18.75">
      <c r="A73" s="3"/>
      <c r="B73" s="5" t="s">
        <v>26</v>
      </c>
      <c r="C73" s="104" t="s">
        <v>12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9">
        <v>0</v>
      </c>
      <c r="K73" s="79">
        <v>0</v>
      </c>
      <c r="L73" s="106">
        <v>0</v>
      </c>
      <c r="M73" s="79">
        <v>0</v>
      </c>
      <c r="N73" s="79">
        <v>0</v>
      </c>
      <c r="O73" s="106">
        <v>0</v>
      </c>
      <c r="P73" s="24"/>
      <c r="Q73" s="1"/>
    </row>
    <row r="74" spans="1:17" ht="18.75">
      <c r="A74" s="3"/>
      <c r="B74" s="5" t="s">
        <v>27</v>
      </c>
      <c r="C74" s="104" t="s">
        <v>12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9">
        <v>0</v>
      </c>
      <c r="K74" s="79">
        <v>0</v>
      </c>
      <c r="L74" s="106">
        <v>0</v>
      </c>
      <c r="M74" s="79">
        <v>0</v>
      </c>
      <c r="N74" s="79">
        <v>0</v>
      </c>
      <c r="O74" s="106">
        <v>0</v>
      </c>
      <c r="P74" s="24"/>
      <c r="Q74" s="1"/>
    </row>
    <row r="75" spans="1:17" ht="18.75">
      <c r="A75" s="3"/>
      <c r="B75" s="5" t="s">
        <v>28</v>
      </c>
      <c r="C75" s="104" t="s">
        <v>12</v>
      </c>
      <c r="D75" s="71">
        <v>41.2</v>
      </c>
      <c r="E75" s="71">
        <v>40</v>
      </c>
      <c r="F75" s="71" t="s">
        <v>61</v>
      </c>
      <c r="G75" s="71">
        <v>3.8</v>
      </c>
      <c r="H75" s="71">
        <v>5</v>
      </c>
      <c r="I75" s="71">
        <v>0</v>
      </c>
      <c r="J75" s="76">
        <v>20</v>
      </c>
      <c r="K75" s="76">
        <v>27</v>
      </c>
      <c r="L75" s="106">
        <f t="shared" si="7"/>
        <v>35</v>
      </c>
      <c r="M75" s="107">
        <v>142</v>
      </c>
      <c r="N75" s="107">
        <v>141</v>
      </c>
      <c r="O75" s="106">
        <f t="shared" si="8"/>
        <v>-0.7042253521126761</v>
      </c>
      <c r="P75" s="24"/>
      <c r="Q75" s="1"/>
    </row>
    <row r="76" spans="1:17" ht="37.5">
      <c r="A76" s="3">
        <v>5</v>
      </c>
      <c r="B76" s="4" t="s">
        <v>29</v>
      </c>
      <c r="C76" s="104" t="s">
        <v>12</v>
      </c>
      <c r="D76" s="74">
        <f>SUM(D77:D86)</f>
        <v>120.60000000000001</v>
      </c>
      <c r="E76" s="74">
        <f>SUM(E77:E86)</f>
        <v>93.5</v>
      </c>
      <c r="F76" s="75">
        <f>(E76-D76)/D76*100</f>
        <v>-22.470978441127702</v>
      </c>
      <c r="G76" s="74">
        <f>SUM(G77:G86)</f>
        <v>8.4</v>
      </c>
      <c r="H76" s="74">
        <f>SUM(H77:H86)</f>
        <v>15.7</v>
      </c>
      <c r="I76" s="105">
        <f>(H76-G76)/G76*100</f>
        <v>86.90476190476188</v>
      </c>
      <c r="J76" s="108">
        <f>J77+SUM(J79:J86)</f>
        <v>394</v>
      </c>
      <c r="K76" s="108">
        <f>K77+SUM(K79:K86)</f>
        <v>1253</v>
      </c>
      <c r="L76" s="105">
        <f t="shared" si="7"/>
        <v>218.02030456852793</v>
      </c>
      <c r="M76" s="108">
        <f>M80+M82+M83</f>
        <v>1315</v>
      </c>
      <c r="N76" s="108">
        <f>N80+N82+N83</f>
        <v>3048</v>
      </c>
      <c r="O76" s="105">
        <f t="shared" si="8"/>
        <v>131.78707224334602</v>
      </c>
      <c r="P76" s="24"/>
      <c r="Q76" s="1"/>
    </row>
    <row r="77" spans="1:17" ht="37.5">
      <c r="A77" s="3"/>
      <c r="B77" s="5" t="s">
        <v>30</v>
      </c>
      <c r="C77" s="104" t="s">
        <v>12</v>
      </c>
      <c r="D77" s="76">
        <v>0.8</v>
      </c>
      <c r="E77" s="76">
        <v>1.2</v>
      </c>
      <c r="F77" s="71">
        <f>(E77-D77)/D77*100</f>
        <v>49.999999999999986</v>
      </c>
      <c r="G77" s="76">
        <v>0.1</v>
      </c>
      <c r="H77" s="76">
        <v>1.1</v>
      </c>
      <c r="I77" s="71">
        <f>(H77-G77)/G77*100</f>
        <v>1000</v>
      </c>
      <c r="J77" s="107">
        <v>43</v>
      </c>
      <c r="K77" s="107">
        <v>133</v>
      </c>
      <c r="L77" s="106">
        <f t="shared" si="7"/>
        <v>209.30232558139537</v>
      </c>
      <c r="M77" s="79">
        <v>0</v>
      </c>
      <c r="N77" s="79">
        <v>0</v>
      </c>
      <c r="O77" s="106">
        <v>0</v>
      </c>
      <c r="P77" s="24"/>
      <c r="Q77" s="1"/>
    </row>
    <row r="78" spans="1:17" ht="18.75">
      <c r="A78" s="3"/>
      <c r="B78" s="5" t="s">
        <v>31</v>
      </c>
      <c r="C78" s="104"/>
      <c r="D78" s="76"/>
      <c r="E78" s="76"/>
      <c r="F78" s="71"/>
      <c r="G78" s="76"/>
      <c r="H78" s="76"/>
      <c r="I78" s="71"/>
      <c r="J78" s="107"/>
      <c r="K78" s="107"/>
      <c r="L78" s="106"/>
      <c r="M78" s="107"/>
      <c r="N78" s="107"/>
      <c r="O78" s="106"/>
      <c r="P78" s="24"/>
      <c r="Q78" s="1"/>
    </row>
    <row r="79" spans="1:17" ht="18.75">
      <c r="A79" s="3"/>
      <c r="B79" s="5" t="s">
        <v>32</v>
      </c>
      <c r="C79" s="104" t="s">
        <v>12</v>
      </c>
      <c r="D79" s="76">
        <v>68.5</v>
      </c>
      <c r="E79" s="76">
        <v>11.5</v>
      </c>
      <c r="F79" s="71">
        <f>(E79-D79)/D79*100</f>
        <v>-83.21167883211679</v>
      </c>
      <c r="G79" s="71">
        <v>0</v>
      </c>
      <c r="H79" s="71">
        <v>0</v>
      </c>
      <c r="I79" s="71">
        <v>0</v>
      </c>
      <c r="J79" s="79">
        <v>0</v>
      </c>
      <c r="K79" s="79">
        <v>5</v>
      </c>
      <c r="L79" s="106">
        <v>0</v>
      </c>
      <c r="M79" s="79">
        <v>0</v>
      </c>
      <c r="N79" s="79">
        <v>0</v>
      </c>
      <c r="O79" s="106">
        <v>0</v>
      </c>
      <c r="P79" s="24"/>
      <c r="Q79" s="1"/>
    </row>
    <row r="80" spans="1:17" ht="18.75">
      <c r="A80" s="3"/>
      <c r="B80" s="5" t="s">
        <v>24</v>
      </c>
      <c r="C80" s="104" t="s">
        <v>33</v>
      </c>
      <c r="D80" s="76">
        <v>40.6</v>
      </c>
      <c r="E80" s="76">
        <v>17.5</v>
      </c>
      <c r="F80" s="71">
        <f>(E80-D80)/D80*100</f>
        <v>-56.896551724137936</v>
      </c>
      <c r="G80" s="71">
        <v>8.3</v>
      </c>
      <c r="H80" s="71">
        <v>14.6</v>
      </c>
      <c r="I80" s="71">
        <v>0</v>
      </c>
      <c r="J80" s="107">
        <v>137</v>
      </c>
      <c r="K80" s="107">
        <v>177</v>
      </c>
      <c r="L80" s="106">
        <f t="shared" si="7"/>
        <v>29.1970802919708</v>
      </c>
      <c r="M80" s="107">
        <v>1040</v>
      </c>
      <c r="N80" s="107">
        <v>2710</v>
      </c>
      <c r="O80" s="106">
        <f t="shared" si="8"/>
        <v>160.5769230769231</v>
      </c>
      <c r="P80" s="24"/>
      <c r="Q80" s="1"/>
    </row>
    <row r="81" spans="1:17" ht="18.75">
      <c r="A81" s="3"/>
      <c r="B81" s="5" t="s">
        <v>34</v>
      </c>
      <c r="C81" s="104" t="s">
        <v>33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9">
        <v>0</v>
      </c>
      <c r="K81" s="79">
        <v>0</v>
      </c>
      <c r="L81" s="106">
        <v>0</v>
      </c>
      <c r="M81" s="79">
        <v>0</v>
      </c>
      <c r="N81" s="79">
        <v>0</v>
      </c>
      <c r="O81" s="106">
        <v>0</v>
      </c>
      <c r="P81" s="24"/>
      <c r="Q81" s="1"/>
    </row>
    <row r="82" spans="1:17" ht="18.75">
      <c r="A82" s="3"/>
      <c r="B82" s="5" t="s">
        <v>35</v>
      </c>
      <c r="C82" s="104" t="s">
        <v>33</v>
      </c>
      <c r="D82" s="76">
        <v>5.4</v>
      </c>
      <c r="E82" s="76">
        <v>12.9</v>
      </c>
      <c r="F82" s="71">
        <f>(E82-D82)/D82*100</f>
        <v>138.88888888888889</v>
      </c>
      <c r="G82" s="71">
        <v>0</v>
      </c>
      <c r="H82" s="71">
        <v>0</v>
      </c>
      <c r="I82" s="71">
        <v>0</v>
      </c>
      <c r="J82" s="107">
        <v>0</v>
      </c>
      <c r="K82" s="107">
        <v>114</v>
      </c>
      <c r="L82" s="106">
        <v>0</v>
      </c>
      <c r="M82" s="107">
        <v>56</v>
      </c>
      <c r="N82" s="107">
        <v>18</v>
      </c>
      <c r="O82" s="106">
        <f t="shared" si="8"/>
        <v>-67.85714285714286</v>
      </c>
      <c r="P82" s="24"/>
      <c r="Q82" s="1"/>
    </row>
    <row r="83" spans="1:17" ht="18.75">
      <c r="A83" s="3"/>
      <c r="B83" s="5" t="s">
        <v>36</v>
      </c>
      <c r="C83" s="104" t="s">
        <v>33</v>
      </c>
      <c r="D83" s="76">
        <v>5.3</v>
      </c>
      <c r="E83" s="76">
        <v>50.4</v>
      </c>
      <c r="F83" s="71">
        <f>(E83-D83)/D83*100</f>
        <v>850.9433962264151</v>
      </c>
      <c r="G83" s="71">
        <v>0</v>
      </c>
      <c r="H83" s="71">
        <v>0</v>
      </c>
      <c r="I83" s="71">
        <v>0</v>
      </c>
      <c r="J83" s="107">
        <v>0</v>
      </c>
      <c r="K83" s="107">
        <v>440</v>
      </c>
      <c r="L83" s="106">
        <v>0</v>
      </c>
      <c r="M83" s="107">
        <v>219</v>
      </c>
      <c r="N83" s="107">
        <v>320</v>
      </c>
      <c r="O83" s="106">
        <f t="shared" si="8"/>
        <v>46.118721461187214</v>
      </c>
      <c r="P83" s="24"/>
      <c r="Q83" s="1"/>
    </row>
    <row r="84" spans="1:17" ht="18.75">
      <c r="A84" s="3"/>
      <c r="B84" s="5" t="s">
        <v>37</v>
      </c>
      <c r="C84" s="104" t="s">
        <v>12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9">
        <v>0</v>
      </c>
      <c r="K84" s="79">
        <v>0</v>
      </c>
      <c r="L84" s="106">
        <v>0</v>
      </c>
      <c r="M84" s="79">
        <v>0</v>
      </c>
      <c r="N84" s="79">
        <v>0</v>
      </c>
      <c r="O84" s="106">
        <v>0</v>
      </c>
      <c r="P84" s="24"/>
      <c r="Q84" s="1"/>
    </row>
    <row r="85" spans="1:17" ht="18.75">
      <c r="A85" s="3"/>
      <c r="B85" s="5" t="s">
        <v>27</v>
      </c>
      <c r="C85" s="104" t="s">
        <v>12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9">
        <v>0</v>
      </c>
      <c r="K85" s="79">
        <v>0</v>
      </c>
      <c r="L85" s="106">
        <v>0</v>
      </c>
      <c r="M85" s="79">
        <v>0</v>
      </c>
      <c r="N85" s="79">
        <v>0</v>
      </c>
      <c r="O85" s="106">
        <v>0</v>
      </c>
      <c r="P85" s="24"/>
      <c r="Q85" s="1"/>
    </row>
    <row r="86" spans="1:17" ht="18.75">
      <c r="A86" s="3"/>
      <c r="B86" s="5" t="s">
        <v>38</v>
      </c>
      <c r="C86" s="104" t="s">
        <v>12</v>
      </c>
      <c r="D86" s="76">
        <v>0</v>
      </c>
      <c r="E86" s="76">
        <v>0</v>
      </c>
      <c r="F86" s="71">
        <v>0</v>
      </c>
      <c r="G86" s="71">
        <v>0</v>
      </c>
      <c r="H86" s="71">
        <v>0</v>
      </c>
      <c r="I86" s="71">
        <v>0</v>
      </c>
      <c r="J86" s="107">
        <v>214</v>
      </c>
      <c r="K86" s="107">
        <v>384</v>
      </c>
      <c r="L86" s="106">
        <f t="shared" si="7"/>
        <v>79.43925233644859</v>
      </c>
      <c r="M86" s="79">
        <v>0</v>
      </c>
      <c r="N86" s="79">
        <v>0</v>
      </c>
      <c r="O86" s="106">
        <v>0</v>
      </c>
      <c r="P86" s="17"/>
      <c r="Q86" s="1"/>
    </row>
    <row r="87" spans="1:17" ht="18.75">
      <c r="A87" s="3">
        <v>6</v>
      </c>
      <c r="B87" s="6" t="s">
        <v>58</v>
      </c>
      <c r="C87" s="104" t="s">
        <v>39</v>
      </c>
      <c r="D87" s="109">
        <v>14</v>
      </c>
      <c r="E87" s="109">
        <v>14</v>
      </c>
      <c r="F87" s="75">
        <f>(E87-D87)/D87*100</f>
        <v>0</v>
      </c>
      <c r="G87" s="109">
        <v>6</v>
      </c>
      <c r="H87" s="109">
        <v>7</v>
      </c>
      <c r="I87" s="105">
        <f>(H87-G87)/G87*100</f>
        <v>16.666666666666664</v>
      </c>
      <c r="J87" s="94">
        <v>77</v>
      </c>
      <c r="K87" s="94">
        <v>71</v>
      </c>
      <c r="L87" s="106">
        <f t="shared" si="7"/>
        <v>-7.792207792207792</v>
      </c>
      <c r="M87" s="94">
        <v>96</v>
      </c>
      <c r="N87" s="94">
        <v>105</v>
      </c>
      <c r="O87" s="106">
        <f t="shared" si="8"/>
        <v>9.375</v>
      </c>
      <c r="P87" s="17"/>
      <c r="Q87" s="1"/>
    </row>
    <row r="88" spans="1:17" ht="18.75">
      <c r="A88" s="3"/>
      <c r="B88" s="7" t="s">
        <v>40</v>
      </c>
      <c r="C88" s="104" t="s">
        <v>39</v>
      </c>
      <c r="D88" s="78">
        <v>3</v>
      </c>
      <c r="E88" s="78">
        <v>3</v>
      </c>
      <c r="F88" s="71">
        <f>(E88-D88)/D88*100</f>
        <v>0</v>
      </c>
      <c r="G88" s="78">
        <v>2</v>
      </c>
      <c r="H88" s="78">
        <v>2</v>
      </c>
      <c r="I88" s="71">
        <f>(H88-G88)/G88*100</f>
        <v>0</v>
      </c>
      <c r="J88" s="78">
        <v>15</v>
      </c>
      <c r="K88" s="78">
        <v>15</v>
      </c>
      <c r="L88" s="106">
        <f t="shared" si="7"/>
        <v>0</v>
      </c>
      <c r="M88" s="110">
        <v>12</v>
      </c>
      <c r="N88" s="110">
        <v>16</v>
      </c>
      <c r="O88" s="106">
        <f t="shared" si="8"/>
        <v>33.33333333333333</v>
      </c>
      <c r="P88" s="24"/>
      <c r="Q88" s="1"/>
    </row>
    <row r="89" spans="1:17" ht="18.75">
      <c r="A89" s="3">
        <v>7</v>
      </c>
      <c r="B89" s="6" t="s">
        <v>41</v>
      </c>
      <c r="C89" s="104" t="s">
        <v>33</v>
      </c>
      <c r="D89" s="74">
        <v>824.4</v>
      </c>
      <c r="E89" s="74">
        <v>954.6</v>
      </c>
      <c r="F89" s="75">
        <f>(E89-D89)/D89*100</f>
        <v>15.793304221251825</v>
      </c>
      <c r="G89" s="74">
        <v>308.5</v>
      </c>
      <c r="H89" s="74">
        <v>471.4</v>
      </c>
      <c r="I89" s="105">
        <f>(H89-G89)/G89*100</f>
        <v>52.80388978930307</v>
      </c>
      <c r="J89" s="77">
        <v>4872.2</v>
      </c>
      <c r="K89" s="77">
        <v>6497</v>
      </c>
      <c r="L89" s="105">
        <f t="shared" si="7"/>
        <v>33.348384713271216</v>
      </c>
      <c r="M89" s="111">
        <v>6182.12</v>
      </c>
      <c r="N89" s="111">
        <v>8803</v>
      </c>
      <c r="O89" s="105">
        <f t="shared" si="8"/>
        <v>42.39451838527884</v>
      </c>
      <c r="P89" s="24"/>
      <c r="Q89" s="1"/>
    </row>
    <row r="90" spans="1:17" ht="18.75">
      <c r="A90" s="3">
        <v>8</v>
      </c>
      <c r="B90" s="6" t="s">
        <v>42</v>
      </c>
      <c r="C90" s="112"/>
      <c r="D90" s="79"/>
      <c r="E90" s="79"/>
      <c r="F90" s="71"/>
      <c r="G90" s="79"/>
      <c r="H90" s="79"/>
      <c r="I90" s="106"/>
      <c r="J90" s="79"/>
      <c r="K90" s="79"/>
      <c r="L90" s="71"/>
      <c r="M90" s="79"/>
      <c r="N90" s="79"/>
      <c r="O90" s="71"/>
      <c r="P90" s="24"/>
      <c r="Q90" s="1"/>
    </row>
    <row r="91" spans="1:17" ht="18.75">
      <c r="A91" s="3"/>
      <c r="B91" s="7" t="s">
        <v>43</v>
      </c>
      <c r="C91" s="104" t="s">
        <v>44</v>
      </c>
      <c r="D91" s="79">
        <v>6152.6</v>
      </c>
      <c r="E91" s="79">
        <v>7553.6</v>
      </c>
      <c r="F91" s="71">
        <f>(E91-D91)/D91*100</f>
        <v>22.77086109937262</v>
      </c>
      <c r="G91" s="79">
        <v>4200</v>
      </c>
      <c r="H91" s="79">
        <v>5600</v>
      </c>
      <c r="I91" s="71">
        <f>(H91-G91)/G91*100</f>
        <v>33.33333333333333</v>
      </c>
      <c r="J91" s="79">
        <v>5273</v>
      </c>
      <c r="K91" s="79">
        <v>7626</v>
      </c>
      <c r="L91" s="106">
        <f t="shared" si="7"/>
        <v>44.62355395410582</v>
      </c>
      <c r="M91" s="79">
        <v>5366.4</v>
      </c>
      <c r="N91" s="79">
        <v>9404.6</v>
      </c>
      <c r="O91" s="106">
        <f t="shared" si="8"/>
        <v>75.24970184853908</v>
      </c>
      <c r="P91" s="24"/>
      <c r="Q91" s="1"/>
    </row>
    <row r="92" spans="1:17" ht="18.75">
      <c r="A92" s="3"/>
      <c r="B92" s="7" t="s">
        <v>45</v>
      </c>
      <c r="C92" s="104" t="s">
        <v>44</v>
      </c>
      <c r="D92" s="79">
        <v>9593.5</v>
      </c>
      <c r="E92" s="79">
        <v>11633</v>
      </c>
      <c r="F92" s="71">
        <f>(E92-D92)/D92*100</f>
        <v>21.259185907124618</v>
      </c>
      <c r="G92" s="79">
        <v>7500</v>
      </c>
      <c r="H92" s="79">
        <v>8500</v>
      </c>
      <c r="I92" s="71">
        <f>(H92-G92)/G92*100</f>
        <v>13.333333333333334</v>
      </c>
      <c r="J92" s="79">
        <v>13517</v>
      </c>
      <c r="K92" s="79">
        <v>16957</v>
      </c>
      <c r="L92" s="106">
        <f t="shared" si="7"/>
        <v>25.44943404601613</v>
      </c>
      <c r="M92" s="79">
        <v>14096.7</v>
      </c>
      <c r="N92" s="79">
        <v>16666.62</v>
      </c>
      <c r="O92" s="106">
        <f t="shared" si="8"/>
        <v>18.230649726531727</v>
      </c>
      <c r="P92" s="24"/>
      <c r="Q92" s="1"/>
    </row>
    <row r="93" spans="1:17" ht="18.75">
      <c r="A93" s="3">
        <v>9</v>
      </c>
      <c r="B93" s="6" t="s">
        <v>46</v>
      </c>
      <c r="C93" s="104" t="s">
        <v>47</v>
      </c>
      <c r="D93" s="79">
        <f>D56/D54*100</f>
        <v>5.0659104843654195</v>
      </c>
      <c r="E93" s="79">
        <v>0</v>
      </c>
      <c r="F93" s="106"/>
      <c r="G93" s="79">
        <f>G56/G54*100</f>
        <v>18.733681462140993</v>
      </c>
      <c r="H93" s="79">
        <f>H56/H54*100</f>
        <v>11.663249306476903</v>
      </c>
      <c r="I93" s="106"/>
      <c r="J93" s="79">
        <f>J56/J54*100</f>
        <v>7.684824902723736</v>
      </c>
      <c r="K93" s="79">
        <f>K56/K54*100</f>
        <v>5.041169551335909</v>
      </c>
      <c r="L93" s="71"/>
      <c r="M93" s="79">
        <f>M56/M54*100</f>
        <v>22.97966494573807</v>
      </c>
      <c r="N93" s="79">
        <f>N56/N54*100</f>
        <v>31.882440476190478</v>
      </c>
      <c r="O93" s="71"/>
      <c r="P93" s="24"/>
      <c r="Q93" s="1"/>
    </row>
    <row r="94" spans="1:17" ht="18.75">
      <c r="A94" s="3">
        <v>10</v>
      </c>
      <c r="B94" s="6" t="s">
        <v>48</v>
      </c>
      <c r="C94" s="104" t="s">
        <v>47</v>
      </c>
      <c r="D94" s="79">
        <f>80.6/1889.8*100</f>
        <v>4.265001587469573</v>
      </c>
      <c r="E94" s="79">
        <v>0</v>
      </c>
      <c r="F94" s="106"/>
      <c r="G94" s="79">
        <f>140/246.6*100</f>
        <v>56.772100567721004</v>
      </c>
      <c r="H94" s="79">
        <f>117.9/395.9*100</f>
        <v>29.780247537256887</v>
      </c>
      <c r="I94" s="106"/>
      <c r="J94" s="79">
        <f>289/26820*100</f>
        <v>1.0775540641312453</v>
      </c>
      <c r="K94" s="79">
        <f>366/32399*100</f>
        <v>1.1296644958177722</v>
      </c>
      <c r="L94" s="71"/>
      <c r="M94" s="79">
        <f>2660/8057*100</f>
        <v>33.01476976542137</v>
      </c>
      <c r="N94" s="79">
        <f>6271/26104*100</f>
        <v>24.023138216365307</v>
      </c>
      <c r="O94" s="71"/>
      <c r="P94" s="24"/>
      <c r="Q94" s="1"/>
    </row>
    <row r="95" spans="1:17" ht="18.75">
      <c r="A95" s="8"/>
      <c r="B95" s="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9"/>
      <c r="O95" s="24"/>
      <c r="P95" s="24"/>
      <c r="Q95" s="1"/>
    </row>
    <row r="96" spans="1:17" ht="18.75">
      <c r="A96" s="8"/>
      <c r="B96" s="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9"/>
      <c r="O96" s="24"/>
      <c r="P96" s="24"/>
      <c r="Q96" s="1"/>
    </row>
    <row r="97" spans="1:17" ht="18">
      <c r="A97" s="8"/>
      <c r="B97" s="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80"/>
      <c r="P97" s="25"/>
      <c r="Q97" s="1"/>
    </row>
    <row r="98" spans="1:17" ht="38.25" customHeight="1">
      <c r="A98" s="137" t="s">
        <v>2</v>
      </c>
      <c r="B98" s="144" t="s">
        <v>3</v>
      </c>
      <c r="C98" s="142"/>
      <c r="D98" s="134" t="s">
        <v>78</v>
      </c>
      <c r="E98" s="135"/>
      <c r="F98" s="136"/>
      <c r="G98" s="134" t="s">
        <v>52</v>
      </c>
      <c r="H98" s="135"/>
      <c r="I98" s="136"/>
      <c r="J98" s="134" t="s">
        <v>62</v>
      </c>
      <c r="K98" s="135"/>
      <c r="L98" s="136"/>
      <c r="M98" s="134" t="s">
        <v>75</v>
      </c>
      <c r="N98" s="135"/>
      <c r="O98" s="136"/>
      <c r="P98" s="25"/>
      <c r="Q98" s="1"/>
    </row>
    <row r="99" spans="1:17" ht="21" customHeight="1">
      <c r="A99" s="138"/>
      <c r="B99" s="145"/>
      <c r="C99" s="143"/>
      <c r="D99" s="73" t="s">
        <v>73</v>
      </c>
      <c r="E99" s="66" t="s">
        <v>77</v>
      </c>
      <c r="F99" s="66" t="s">
        <v>5</v>
      </c>
      <c r="G99" s="73" t="s">
        <v>73</v>
      </c>
      <c r="H99" s="66" t="s">
        <v>77</v>
      </c>
      <c r="I99" s="66" t="s">
        <v>5</v>
      </c>
      <c r="J99" s="66" t="s">
        <v>73</v>
      </c>
      <c r="K99" s="66" t="s">
        <v>77</v>
      </c>
      <c r="L99" s="66" t="s">
        <v>5</v>
      </c>
      <c r="M99" s="73" t="s">
        <v>73</v>
      </c>
      <c r="N99" s="66" t="s">
        <v>77</v>
      </c>
      <c r="O99" s="113" t="s">
        <v>5</v>
      </c>
      <c r="P99" s="28"/>
      <c r="Q99" s="1"/>
    </row>
    <row r="100" spans="1:17" ht="34.5">
      <c r="A100" s="3">
        <v>1</v>
      </c>
      <c r="B100" s="4" t="s">
        <v>70</v>
      </c>
      <c r="C100" s="104" t="s">
        <v>6</v>
      </c>
      <c r="D100" s="74">
        <v>0</v>
      </c>
      <c r="E100" s="74">
        <v>0</v>
      </c>
      <c r="F100" s="75">
        <v>0</v>
      </c>
      <c r="G100" s="88">
        <v>119925</v>
      </c>
      <c r="H100" s="88">
        <v>139002</v>
      </c>
      <c r="I100" s="83">
        <f>(H100-G100)/G100*100</f>
        <v>15.90744215134459</v>
      </c>
      <c r="J100" s="74">
        <v>435.5</v>
      </c>
      <c r="K100" s="74">
        <v>677</v>
      </c>
      <c r="L100" s="75">
        <f>(K100-J100)/J100*100</f>
        <v>55.453501722158435</v>
      </c>
      <c r="M100" s="74">
        <v>8692</v>
      </c>
      <c r="N100" s="74">
        <v>14410</v>
      </c>
      <c r="O100" s="105">
        <f>(N100-M100)/M100*100</f>
        <v>65.78462954440866</v>
      </c>
      <c r="P100" s="23"/>
      <c r="Q100" s="1"/>
    </row>
    <row r="101" spans="1:17" ht="18">
      <c r="A101" s="3"/>
      <c r="B101" s="5" t="s">
        <v>7</v>
      </c>
      <c r="C101" s="104"/>
      <c r="D101" s="76"/>
      <c r="E101" s="76"/>
      <c r="F101" s="71"/>
      <c r="G101" s="90"/>
      <c r="H101" s="90"/>
      <c r="I101" s="70"/>
      <c r="J101" s="76"/>
      <c r="K101" s="76"/>
      <c r="L101" s="71"/>
      <c r="M101" s="76"/>
      <c r="N101" s="76"/>
      <c r="O101" s="106"/>
      <c r="P101" s="24"/>
      <c r="Q101" s="1"/>
    </row>
    <row r="102" spans="1:17" ht="18">
      <c r="A102" s="3"/>
      <c r="B102" s="5" t="s">
        <v>8</v>
      </c>
      <c r="C102" s="104" t="s">
        <v>6</v>
      </c>
      <c r="D102" s="76" t="s">
        <v>61</v>
      </c>
      <c r="E102" s="76" t="s">
        <v>61</v>
      </c>
      <c r="F102" s="71" t="s">
        <v>61</v>
      </c>
      <c r="G102" s="90">
        <v>14162</v>
      </c>
      <c r="H102" s="90">
        <v>1334</v>
      </c>
      <c r="I102" s="70">
        <f>(H102-G102)/G102*100</f>
        <v>-90.58042649343314</v>
      </c>
      <c r="J102" s="76"/>
      <c r="K102" s="76"/>
      <c r="L102" s="71" t="s">
        <v>61</v>
      </c>
      <c r="M102" s="76" t="s">
        <v>61</v>
      </c>
      <c r="N102" s="76">
        <v>642</v>
      </c>
      <c r="O102" s="106" t="s">
        <v>61</v>
      </c>
      <c r="P102" s="24"/>
      <c r="Q102" s="1"/>
    </row>
    <row r="103" spans="1:17" ht="18">
      <c r="A103" s="3"/>
      <c r="B103" s="5" t="s">
        <v>9</v>
      </c>
      <c r="C103" s="104" t="s">
        <v>6</v>
      </c>
      <c r="D103" s="76">
        <v>239</v>
      </c>
      <c r="E103" s="76">
        <v>4.7</v>
      </c>
      <c r="F103" s="71" t="s">
        <v>61</v>
      </c>
      <c r="G103" s="90"/>
      <c r="H103" s="90"/>
      <c r="I103" s="70" t="s">
        <v>61</v>
      </c>
      <c r="J103" s="76">
        <v>79</v>
      </c>
      <c r="K103" s="76">
        <v>99.2</v>
      </c>
      <c r="L103" s="71" t="s">
        <v>61</v>
      </c>
      <c r="M103" s="76">
        <v>274</v>
      </c>
      <c r="N103" s="76" t="s">
        <v>61</v>
      </c>
      <c r="O103" s="106" t="s">
        <v>61</v>
      </c>
      <c r="P103" s="24"/>
      <c r="Q103" s="1"/>
    </row>
    <row r="104" spans="1:17" ht="18">
      <c r="A104" s="3">
        <v>2</v>
      </c>
      <c r="B104" s="4" t="s">
        <v>10</v>
      </c>
      <c r="C104" s="104"/>
      <c r="D104" s="76"/>
      <c r="E104" s="76"/>
      <c r="F104" s="71"/>
      <c r="G104" s="90"/>
      <c r="H104" s="90"/>
      <c r="I104" s="70"/>
      <c r="J104" s="76"/>
      <c r="K104" s="76"/>
      <c r="L104" s="71"/>
      <c r="M104" s="76"/>
      <c r="N104" s="76"/>
      <c r="O104" s="106"/>
      <c r="P104" s="24"/>
      <c r="Q104" s="1"/>
    </row>
    <row r="105" spans="1:17" ht="18">
      <c r="A105" s="3"/>
      <c r="B105" s="5" t="s">
        <v>11</v>
      </c>
      <c r="C105" s="104" t="s">
        <v>12</v>
      </c>
      <c r="D105" s="76">
        <v>71</v>
      </c>
      <c r="E105" s="76">
        <v>71</v>
      </c>
      <c r="F105" s="71">
        <f aca="true" t="shared" si="9" ref="F105:F115">(E105-D105)/D105*100</f>
        <v>0</v>
      </c>
      <c r="G105" s="90">
        <v>13652</v>
      </c>
      <c r="H105" s="90">
        <v>15784</v>
      </c>
      <c r="I105" s="70">
        <f aca="true" t="shared" si="10" ref="I105:I115">(H105-G105)/G105*100</f>
        <v>15.616759449164958</v>
      </c>
      <c r="J105" s="76">
        <v>2070.5</v>
      </c>
      <c r="K105" s="76">
        <v>2219.1</v>
      </c>
      <c r="L105" s="71">
        <f aca="true" t="shared" si="11" ref="L105:L115">(K105-J105)/J105*100</f>
        <v>7.1770103839652215</v>
      </c>
      <c r="M105" s="76">
        <v>57633</v>
      </c>
      <c r="N105" s="76">
        <v>63120</v>
      </c>
      <c r="O105" s="106">
        <f aca="true" t="shared" si="12" ref="O105:O115">(N105-M105)/M105*100</f>
        <v>9.520587163604185</v>
      </c>
      <c r="P105" s="24"/>
      <c r="Q105" s="1"/>
    </row>
    <row r="106" spans="1:17" ht="18">
      <c r="A106" s="3"/>
      <c r="B106" s="5" t="s">
        <v>13</v>
      </c>
      <c r="C106" s="104" t="s">
        <v>12</v>
      </c>
      <c r="D106" s="76">
        <v>267</v>
      </c>
      <c r="E106" s="76">
        <v>267</v>
      </c>
      <c r="F106" s="71">
        <f t="shared" si="9"/>
        <v>0</v>
      </c>
      <c r="G106" s="90">
        <v>35300</v>
      </c>
      <c r="H106" s="90">
        <v>38187</v>
      </c>
      <c r="I106" s="70">
        <f t="shared" si="10"/>
        <v>8.178470254957507</v>
      </c>
      <c r="J106" s="76">
        <v>3096.6</v>
      </c>
      <c r="K106" s="76">
        <v>3680</v>
      </c>
      <c r="L106" s="71">
        <f t="shared" si="11"/>
        <v>18.840018084350582</v>
      </c>
      <c r="M106" s="76">
        <v>69142</v>
      </c>
      <c r="N106" s="76">
        <v>77202</v>
      </c>
      <c r="O106" s="106">
        <f t="shared" si="12"/>
        <v>11.657169303751699</v>
      </c>
      <c r="P106" s="24"/>
      <c r="Q106" s="1"/>
    </row>
    <row r="107" spans="1:17" ht="18">
      <c r="A107" s="3"/>
      <c r="B107" s="5" t="s">
        <v>14</v>
      </c>
      <c r="C107" s="104" t="s">
        <v>12</v>
      </c>
      <c r="D107" s="76">
        <v>196</v>
      </c>
      <c r="E107" s="76">
        <v>196</v>
      </c>
      <c r="F107" s="71">
        <f t="shared" si="9"/>
        <v>0</v>
      </c>
      <c r="G107" s="90">
        <v>21648</v>
      </c>
      <c r="H107" s="90">
        <v>22403</v>
      </c>
      <c r="I107" s="70">
        <f t="shared" si="10"/>
        <v>3.4876201034737617</v>
      </c>
      <c r="J107" s="76">
        <v>1026.1</v>
      </c>
      <c r="K107" s="76">
        <v>1460.9</v>
      </c>
      <c r="L107" s="71">
        <f t="shared" si="11"/>
        <v>42.37403761816589</v>
      </c>
      <c r="M107" s="76">
        <v>11509</v>
      </c>
      <c r="N107" s="76">
        <v>14082</v>
      </c>
      <c r="O107" s="106">
        <f t="shared" si="12"/>
        <v>22.35641671735164</v>
      </c>
      <c r="P107" s="24"/>
      <c r="Q107" s="1"/>
    </row>
    <row r="108" spans="1:17" ht="18">
      <c r="A108" s="3">
        <v>3</v>
      </c>
      <c r="B108" s="4" t="s">
        <v>15</v>
      </c>
      <c r="C108" s="104" t="s">
        <v>12</v>
      </c>
      <c r="D108" s="74">
        <f>SUM(D109:D113)</f>
        <v>129.4</v>
      </c>
      <c r="E108" s="74">
        <f>SUM(E109:E113)</f>
        <v>29.4</v>
      </c>
      <c r="F108" s="77">
        <f t="shared" si="9"/>
        <v>-77.27975270479133</v>
      </c>
      <c r="G108" s="88">
        <f>SUM(G109:G113)</f>
        <v>123298</v>
      </c>
      <c r="H108" s="88">
        <f>SUM(H109:H113)</f>
        <v>148031</v>
      </c>
      <c r="I108" s="99">
        <f t="shared" si="10"/>
        <v>20.05953056821684</v>
      </c>
      <c r="J108" s="74">
        <f>SUM(J109:J113)</f>
        <v>1642.8</v>
      </c>
      <c r="K108" s="74">
        <f>SUM(K109:K113)</f>
        <v>5657.299999999999</v>
      </c>
      <c r="L108" s="75">
        <f t="shared" si="11"/>
        <v>244.36936936936934</v>
      </c>
      <c r="M108" s="74">
        <f>SUM(M109:M113)</f>
        <v>23451</v>
      </c>
      <c r="N108" s="74">
        <f>SUM(N109:N113)</f>
        <v>30901</v>
      </c>
      <c r="O108" s="105">
        <f t="shared" si="12"/>
        <v>31.768368086648756</v>
      </c>
      <c r="P108" s="24"/>
      <c r="Q108" s="1"/>
    </row>
    <row r="109" spans="1:17" ht="18">
      <c r="A109" s="3"/>
      <c r="B109" s="5" t="s">
        <v>16</v>
      </c>
      <c r="C109" s="104" t="s">
        <v>12</v>
      </c>
      <c r="D109" s="76">
        <v>1.4</v>
      </c>
      <c r="E109" s="76">
        <v>5.8</v>
      </c>
      <c r="F109" s="71">
        <f t="shared" si="9"/>
        <v>314.28571428571433</v>
      </c>
      <c r="G109" s="90">
        <v>101146</v>
      </c>
      <c r="H109" s="90">
        <v>123115</v>
      </c>
      <c r="I109" s="70">
        <f t="shared" si="10"/>
        <v>21.72008779388211</v>
      </c>
      <c r="J109" s="76">
        <v>91.7</v>
      </c>
      <c r="K109" s="76">
        <v>135.6</v>
      </c>
      <c r="L109" s="71">
        <f t="shared" si="11"/>
        <v>47.873500545256256</v>
      </c>
      <c r="M109" s="76">
        <v>5655</v>
      </c>
      <c r="N109" s="76">
        <v>5632</v>
      </c>
      <c r="O109" s="106">
        <f t="shared" si="12"/>
        <v>-0.40671971706454463</v>
      </c>
      <c r="P109" s="17"/>
      <c r="Q109" s="1"/>
    </row>
    <row r="110" spans="1:17" ht="18">
      <c r="A110" s="3"/>
      <c r="B110" s="5" t="s">
        <v>17</v>
      </c>
      <c r="C110" s="104" t="s">
        <v>12</v>
      </c>
      <c r="D110" s="76">
        <v>105</v>
      </c>
      <c r="E110" s="76">
        <v>15.5</v>
      </c>
      <c r="F110" s="71">
        <f t="shared" si="9"/>
        <v>-85.23809523809524</v>
      </c>
      <c r="G110" s="90">
        <v>13462</v>
      </c>
      <c r="H110" s="90">
        <v>17032</v>
      </c>
      <c r="I110" s="70">
        <f t="shared" si="10"/>
        <v>26.51909077403061</v>
      </c>
      <c r="J110" s="76">
        <v>797.6</v>
      </c>
      <c r="K110" s="76">
        <v>1109.8</v>
      </c>
      <c r="L110" s="71">
        <f t="shared" si="11"/>
        <v>39.14242728184553</v>
      </c>
      <c r="M110" s="76">
        <v>8238</v>
      </c>
      <c r="N110" s="76">
        <v>11435</v>
      </c>
      <c r="O110" s="106">
        <f t="shared" si="12"/>
        <v>38.807963097839284</v>
      </c>
      <c r="P110" s="24"/>
      <c r="Q110" s="1"/>
    </row>
    <row r="111" spans="1:17" ht="18">
      <c r="A111" s="3"/>
      <c r="B111" s="5" t="s">
        <v>18</v>
      </c>
      <c r="C111" s="104" t="s">
        <v>12</v>
      </c>
      <c r="D111" s="76">
        <v>23</v>
      </c>
      <c r="E111" s="76">
        <v>3.4</v>
      </c>
      <c r="F111" s="71">
        <f t="shared" si="9"/>
        <v>-85.21739130434783</v>
      </c>
      <c r="G111" s="90">
        <v>2994</v>
      </c>
      <c r="H111" s="90">
        <v>3645</v>
      </c>
      <c r="I111" s="70">
        <f t="shared" si="10"/>
        <v>21.743486973947896</v>
      </c>
      <c r="J111" s="76">
        <v>195.4</v>
      </c>
      <c r="K111" s="76">
        <v>273.6</v>
      </c>
      <c r="L111" s="71">
        <f t="shared" si="11"/>
        <v>40.020470829068586</v>
      </c>
      <c r="M111" s="76">
        <v>1688</v>
      </c>
      <c r="N111" s="76">
        <v>2258</v>
      </c>
      <c r="O111" s="106">
        <f t="shared" si="12"/>
        <v>33.76777251184834</v>
      </c>
      <c r="P111" s="24"/>
      <c r="Q111" s="1"/>
    </row>
    <row r="112" spans="1:17" ht="18">
      <c r="A112" s="3"/>
      <c r="B112" s="5" t="s">
        <v>19</v>
      </c>
      <c r="C112" s="104" t="s">
        <v>12</v>
      </c>
      <c r="D112" s="76">
        <v>0</v>
      </c>
      <c r="E112" s="76">
        <v>0</v>
      </c>
      <c r="F112" s="71">
        <v>0</v>
      </c>
      <c r="G112" s="90">
        <v>1450</v>
      </c>
      <c r="H112" s="90">
        <v>1262</v>
      </c>
      <c r="I112" s="70">
        <f t="shared" si="10"/>
        <v>-12.96551724137931</v>
      </c>
      <c r="J112" s="76">
        <v>364.3</v>
      </c>
      <c r="K112" s="76">
        <v>355.6</v>
      </c>
      <c r="L112" s="71">
        <f t="shared" si="11"/>
        <v>-2.3881416415042516</v>
      </c>
      <c r="M112" s="76">
        <v>2290</v>
      </c>
      <c r="N112" s="76">
        <v>2724</v>
      </c>
      <c r="O112" s="106">
        <f t="shared" si="12"/>
        <v>18.951965065502183</v>
      </c>
      <c r="P112" s="24"/>
      <c r="Q112" s="1"/>
    </row>
    <row r="113" spans="1:17" ht="18">
      <c r="A113" s="3"/>
      <c r="B113" s="5" t="s">
        <v>20</v>
      </c>
      <c r="C113" s="104" t="s">
        <v>12</v>
      </c>
      <c r="D113" s="76">
        <v>0</v>
      </c>
      <c r="E113" s="76">
        <v>4.7</v>
      </c>
      <c r="F113" s="71">
        <v>0</v>
      </c>
      <c r="G113" s="90">
        <v>4246</v>
      </c>
      <c r="H113" s="90">
        <v>2977</v>
      </c>
      <c r="I113" s="70">
        <f t="shared" si="10"/>
        <v>-29.88695242581253</v>
      </c>
      <c r="J113" s="76">
        <v>193.8</v>
      </c>
      <c r="K113" s="76">
        <v>3782.7</v>
      </c>
      <c r="L113" s="71">
        <f t="shared" si="11"/>
        <v>1851.8575851393186</v>
      </c>
      <c r="M113" s="76">
        <v>5580</v>
      </c>
      <c r="N113" s="76">
        <v>8852</v>
      </c>
      <c r="O113" s="106">
        <f t="shared" si="12"/>
        <v>58.63799283154122</v>
      </c>
      <c r="P113" s="24"/>
      <c r="Q113" s="1"/>
    </row>
    <row r="114" spans="1:17" ht="18">
      <c r="A114" s="3">
        <v>4</v>
      </c>
      <c r="B114" s="4" t="s">
        <v>21</v>
      </c>
      <c r="C114" s="104" t="s">
        <v>12</v>
      </c>
      <c r="D114" s="74">
        <f>SUM(D115+SUM(D117:D121))</f>
        <v>1940</v>
      </c>
      <c r="E114" s="74">
        <f>SUM(E115+SUM(E117:E121))</f>
        <v>1920.3</v>
      </c>
      <c r="F114" s="75">
        <f t="shared" si="9"/>
        <v>-1.0154639175257756</v>
      </c>
      <c r="G114" s="74">
        <f>SUM(G115+SUM(G117:G121))</f>
        <v>55408</v>
      </c>
      <c r="H114" s="74">
        <f>SUM(H115+SUM(H117:H121))</f>
        <v>63624</v>
      </c>
      <c r="I114" s="75">
        <f t="shared" si="10"/>
        <v>14.828183655789779</v>
      </c>
      <c r="J114" s="74">
        <f>J115+SUM(J117:J121)</f>
        <v>38.4</v>
      </c>
      <c r="K114" s="74">
        <f>K115+SUM(K117:K121)</f>
        <v>30.8</v>
      </c>
      <c r="L114" s="75">
        <f t="shared" si="11"/>
        <v>-19.791666666666664</v>
      </c>
      <c r="M114" s="74">
        <f>SUM(M115+SUM(M117:M121))</f>
        <v>3084</v>
      </c>
      <c r="N114" s="74">
        <f>SUM(N115+SUM(N117:N121))</f>
        <v>4146</v>
      </c>
      <c r="O114" s="105">
        <f t="shared" si="12"/>
        <v>34.43579766536965</v>
      </c>
      <c r="P114" s="24"/>
      <c r="Q114" s="1"/>
    </row>
    <row r="115" spans="1:17" ht="23.25" customHeight="1">
      <c r="A115" s="3"/>
      <c r="B115" s="5" t="s">
        <v>22</v>
      </c>
      <c r="C115" s="104" t="s">
        <v>12</v>
      </c>
      <c r="D115" s="76">
        <v>2</v>
      </c>
      <c r="E115" s="107">
        <v>2</v>
      </c>
      <c r="F115" s="71">
        <f t="shared" si="9"/>
        <v>0</v>
      </c>
      <c r="G115" s="76">
        <v>54917</v>
      </c>
      <c r="H115" s="76">
        <v>62097</v>
      </c>
      <c r="I115" s="71">
        <f t="shared" si="10"/>
        <v>13.07427572518528</v>
      </c>
      <c r="J115" s="76">
        <v>28.5</v>
      </c>
      <c r="K115" s="76">
        <v>18.3</v>
      </c>
      <c r="L115" s="71">
        <f t="shared" si="11"/>
        <v>-35.78947368421053</v>
      </c>
      <c r="M115" s="76">
        <v>3023</v>
      </c>
      <c r="N115" s="76">
        <v>3905</v>
      </c>
      <c r="O115" s="106">
        <f t="shared" si="12"/>
        <v>29.17631491895468</v>
      </c>
      <c r="P115" s="24"/>
      <c r="Q115" s="1"/>
    </row>
    <row r="116" spans="1:17" ht="18">
      <c r="A116" s="3"/>
      <c r="B116" s="5" t="s">
        <v>23</v>
      </c>
      <c r="C116" s="104" t="s">
        <v>12</v>
      </c>
      <c r="D116" s="79"/>
      <c r="E116" s="79"/>
      <c r="F116" s="71"/>
      <c r="G116" s="76"/>
      <c r="H116" s="76"/>
      <c r="I116" s="71"/>
      <c r="J116" s="76"/>
      <c r="K116" s="76"/>
      <c r="L116" s="71"/>
      <c r="M116" s="76"/>
      <c r="N116" s="76"/>
      <c r="O116" s="106"/>
      <c r="P116" s="24"/>
      <c r="Q116" s="1"/>
    </row>
    <row r="117" spans="1:17" ht="18">
      <c r="A117" s="3"/>
      <c r="B117" s="5" t="s">
        <v>24</v>
      </c>
      <c r="C117" s="104" t="s">
        <v>12</v>
      </c>
      <c r="D117" s="79">
        <v>0</v>
      </c>
      <c r="E117" s="79">
        <v>0</v>
      </c>
      <c r="F117" s="71">
        <v>0</v>
      </c>
      <c r="G117" s="76">
        <v>1</v>
      </c>
      <c r="H117" s="76">
        <v>323</v>
      </c>
      <c r="I117" s="71">
        <v>0</v>
      </c>
      <c r="J117" s="71">
        <v>0.5</v>
      </c>
      <c r="K117" s="71">
        <v>0</v>
      </c>
      <c r="L117" s="71">
        <f>(K117-J117)/J117*100</f>
        <v>-100</v>
      </c>
      <c r="M117" s="79">
        <v>0</v>
      </c>
      <c r="N117" s="79">
        <v>0</v>
      </c>
      <c r="O117" s="106">
        <v>0</v>
      </c>
      <c r="P117" s="24"/>
      <c r="Q117" s="1"/>
    </row>
    <row r="118" spans="1:17" ht="18">
      <c r="A118" s="3"/>
      <c r="B118" s="5" t="s">
        <v>25</v>
      </c>
      <c r="C118" s="104" t="s">
        <v>12</v>
      </c>
      <c r="D118" s="79">
        <v>0</v>
      </c>
      <c r="E118" s="79">
        <v>0</v>
      </c>
      <c r="F118" s="71">
        <v>0</v>
      </c>
      <c r="G118" s="76">
        <v>18</v>
      </c>
      <c r="H118" s="76">
        <v>600</v>
      </c>
      <c r="I118" s="71">
        <f>(H118-G118)/G118*100</f>
        <v>3233.3333333333335</v>
      </c>
      <c r="J118" s="71">
        <v>0</v>
      </c>
      <c r="K118" s="71">
        <v>0</v>
      </c>
      <c r="L118" s="71">
        <v>0</v>
      </c>
      <c r="M118" s="79">
        <v>60</v>
      </c>
      <c r="N118" s="79">
        <v>211</v>
      </c>
      <c r="O118" s="106">
        <v>0</v>
      </c>
      <c r="P118" s="24"/>
      <c r="Q118" s="1"/>
    </row>
    <row r="119" spans="1:17" ht="18">
      <c r="A119" s="3"/>
      <c r="B119" s="5" t="s">
        <v>26</v>
      </c>
      <c r="C119" s="104" t="s">
        <v>12</v>
      </c>
      <c r="D119" s="79">
        <v>0</v>
      </c>
      <c r="E119" s="79">
        <v>0</v>
      </c>
      <c r="F119" s="71">
        <v>0</v>
      </c>
      <c r="G119" s="79">
        <v>0</v>
      </c>
      <c r="H119" s="79">
        <v>0</v>
      </c>
      <c r="I119" s="71">
        <v>0</v>
      </c>
      <c r="J119" s="71">
        <v>0</v>
      </c>
      <c r="K119" s="71">
        <v>0</v>
      </c>
      <c r="L119" s="71">
        <v>0</v>
      </c>
      <c r="M119" s="79">
        <v>0</v>
      </c>
      <c r="N119" s="79">
        <v>0</v>
      </c>
      <c r="O119" s="71">
        <v>0</v>
      </c>
      <c r="P119" s="24"/>
      <c r="Q119" s="1"/>
    </row>
    <row r="120" spans="1:17" ht="18">
      <c r="A120" s="3"/>
      <c r="B120" s="5" t="s">
        <v>27</v>
      </c>
      <c r="C120" s="104" t="s">
        <v>12</v>
      </c>
      <c r="D120" s="79">
        <v>0</v>
      </c>
      <c r="E120" s="79">
        <v>0</v>
      </c>
      <c r="F120" s="71">
        <v>0</v>
      </c>
      <c r="G120" s="79">
        <v>0</v>
      </c>
      <c r="H120" s="79">
        <v>0</v>
      </c>
      <c r="I120" s="71">
        <v>0</v>
      </c>
      <c r="J120" s="71">
        <v>0</v>
      </c>
      <c r="K120" s="71">
        <v>0</v>
      </c>
      <c r="L120" s="71">
        <v>0</v>
      </c>
      <c r="M120" s="79">
        <v>0</v>
      </c>
      <c r="N120" s="79">
        <v>0</v>
      </c>
      <c r="O120" s="71">
        <v>0</v>
      </c>
      <c r="P120" s="24"/>
      <c r="Q120" s="1"/>
    </row>
    <row r="121" spans="1:17" ht="18">
      <c r="A121" s="3"/>
      <c r="B121" s="5" t="s">
        <v>28</v>
      </c>
      <c r="C121" s="104" t="s">
        <v>12</v>
      </c>
      <c r="D121" s="76">
        <v>1938</v>
      </c>
      <c r="E121" s="79">
        <v>1918.3</v>
      </c>
      <c r="F121" s="71">
        <v>0</v>
      </c>
      <c r="G121" s="76">
        <v>472</v>
      </c>
      <c r="H121" s="76">
        <v>604</v>
      </c>
      <c r="I121" s="71">
        <f>(H121-G121)/G121*100</f>
        <v>27.966101694915253</v>
      </c>
      <c r="J121" s="76">
        <v>9.4</v>
      </c>
      <c r="K121" s="76">
        <v>12.5</v>
      </c>
      <c r="L121" s="71">
        <v>0</v>
      </c>
      <c r="M121" s="76">
        <v>1</v>
      </c>
      <c r="N121" s="76">
        <v>30</v>
      </c>
      <c r="O121" s="106">
        <f>(N121-M121)/M121*100</f>
        <v>2900</v>
      </c>
      <c r="P121" s="24"/>
      <c r="Q121" s="1"/>
    </row>
    <row r="122" spans="1:17" ht="18">
      <c r="A122" s="3">
        <v>5</v>
      </c>
      <c r="B122" s="4" t="s">
        <v>29</v>
      </c>
      <c r="C122" s="104" t="s">
        <v>12</v>
      </c>
      <c r="D122" s="74">
        <f>SUM(D123:D132)</f>
        <v>2867</v>
      </c>
      <c r="E122" s="74">
        <f>SUM(E123:E132)</f>
        <v>2839.9999999999995</v>
      </c>
      <c r="F122" s="75">
        <f>(E122-D122)/D122*100</f>
        <v>-0.9417509591908075</v>
      </c>
      <c r="G122" s="74">
        <f>SUM(G123:G132)</f>
        <v>64063</v>
      </c>
      <c r="H122" s="74">
        <f>SUM(H123:H132)</f>
        <v>69983</v>
      </c>
      <c r="I122" s="75">
        <f>(H122-G122)/G122*100</f>
        <v>9.240903485631332</v>
      </c>
      <c r="J122" s="74">
        <f>J123+SUM(J125:J132)</f>
        <v>137.4</v>
      </c>
      <c r="K122" s="74">
        <f>K123+SUM(K125:K132)</f>
        <v>216</v>
      </c>
      <c r="L122" s="75">
        <f>(K122-J122)/J122*100</f>
        <v>57.205240174672475</v>
      </c>
      <c r="M122" s="74">
        <f>M123+SUM(M125:M132)</f>
        <v>4772</v>
      </c>
      <c r="N122" s="74">
        <f>N123+SUM(N125:N132)</f>
        <v>6733</v>
      </c>
      <c r="O122" s="105">
        <f>(N122-M122)/M122*100</f>
        <v>41.093880972338646</v>
      </c>
      <c r="P122" s="24"/>
      <c r="Q122" s="1"/>
    </row>
    <row r="123" spans="1:17" ht="36">
      <c r="A123" s="3"/>
      <c r="B123" s="5" t="s">
        <v>30</v>
      </c>
      <c r="C123" s="104" t="s">
        <v>12</v>
      </c>
      <c r="D123" s="76">
        <v>1839</v>
      </c>
      <c r="E123" s="107">
        <v>1839</v>
      </c>
      <c r="F123" s="71">
        <f>(E123-D123)/D123*100</f>
        <v>0</v>
      </c>
      <c r="G123" s="76">
        <v>45431</v>
      </c>
      <c r="H123" s="76">
        <v>53440</v>
      </c>
      <c r="I123" s="71">
        <f>(H123-G123)/G123*100</f>
        <v>17.62893178666549</v>
      </c>
      <c r="J123" s="76">
        <v>131.1</v>
      </c>
      <c r="K123" s="76">
        <v>186.2</v>
      </c>
      <c r="L123" s="71">
        <f>(K123-J123)/J123*100</f>
        <v>42.028985507246375</v>
      </c>
      <c r="M123" s="76">
        <v>86</v>
      </c>
      <c r="N123" s="76">
        <v>668</v>
      </c>
      <c r="O123" s="106">
        <f>(N123-M123)/M123*100</f>
        <v>676.7441860465116</v>
      </c>
      <c r="P123" s="24"/>
      <c r="Q123" s="1"/>
    </row>
    <row r="124" spans="1:17" ht="18">
      <c r="A124" s="3"/>
      <c r="B124" s="5" t="s">
        <v>31</v>
      </c>
      <c r="C124" s="104"/>
      <c r="D124" s="76"/>
      <c r="E124" s="107"/>
      <c r="F124" s="71"/>
      <c r="G124" s="76"/>
      <c r="H124" s="76"/>
      <c r="I124" s="71"/>
      <c r="J124" s="76"/>
      <c r="K124" s="76"/>
      <c r="L124" s="71"/>
      <c r="M124" s="76"/>
      <c r="N124" s="76"/>
      <c r="O124" s="106"/>
      <c r="P124" s="24"/>
      <c r="Q124" s="1"/>
    </row>
    <row r="125" spans="1:17" ht="18">
      <c r="A125" s="3"/>
      <c r="B125" s="5" t="s">
        <v>32</v>
      </c>
      <c r="C125" s="104" t="s">
        <v>12</v>
      </c>
      <c r="D125" s="79">
        <v>0</v>
      </c>
      <c r="E125" s="79">
        <v>0</v>
      </c>
      <c r="F125" s="71">
        <v>0</v>
      </c>
      <c r="G125" s="79">
        <v>0</v>
      </c>
      <c r="H125" s="79">
        <v>0</v>
      </c>
      <c r="I125" s="71">
        <v>0</v>
      </c>
      <c r="J125" s="71">
        <v>0</v>
      </c>
      <c r="K125" s="71">
        <v>0</v>
      </c>
      <c r="L125" s="71">
        <v>0</v>
      </c>
      <c r="M125" s="76">
        <v>49</v>
      </c>
      <c r="N125" s="76">
        <v>101</v>
      </c>
      <c r="O125" s="106">
        <f>(N125-M125)/M125*100</f>
        <v>106.12244897959184</v>
      </c>
      <c r="P125" s="24"/>
      <c r="Q125" s="1"/>
    </row>
    <row r="126" spans="1:17" ht="18">
      <c r="A126" s="3"/>
      <c r="B126" s="5" t="s">
        <v>24</v>
      </c>
      <c r="C126" s="104" t="s">
        <v>33</v>
      </c>
      <c r="D126" s="76">
        <v>638</v>
      </c>
      <c r="E126" s="107">
        <v>664.2</v>
      </c>
      <c r="F126" s="71">
        <f aca="true" t="shared" si="13" ref="F126:F134">(E126-D126)/D126*100</f>
        <v>4.106583072100321</v>
      </c>
      <c r="G126" s="76">
        <v>2679</v>
      </c>
      <c r="H126" s="76">
        <v>800</v>
      </c>
      <c r="I126" s="71">
        <f aca="true" t="shared" si="14" ref="I126:I135">(H126-G126)/G126*100</f>
        <v>-70.13811123553565</v>
      </c>
      <c r="J126" s="76">
        <v>1.8</v>
      </c>
      <c r="K126" s="76">
        <v>3.5</v>
      </c>
      <c r="L126" s="71">
        <f>(K126-J126)/J126*100</f>
        <v>94.44444444444444</v>
      </c>
      <c r="M126" s="76">
        <v>3380</v>
      </c>
      <c r="N126" s="76">
        <v>3870</v>
      </c>
      <c r="O126" s="106">
        <f>(N126-M126)/M126*100</f>
        <v>14.497041420118343</v>
      </c>
      <c r="P126" s="24"/>
      <c r="Q126" s="1"/>
    </row>
    <row r="127" spans="1:17" ht="18">
      <c r="A127" s="3"/>
      <c r="B127" s="5" t="s">
        <v>34</v>
      </c>
      <c r="C127" s="104" t="s">
        <v>33</v>
      </c>
      <c r="D127" s="79">
        <v>0</v>
      </c>
      <c r="E127" s="79">
        <v>0</v>
      </c>
      <c r="F127" s="71">
        <v>0</v>
      </c>
      <c r="G127" s="79">
        <v>0</v>
      </c>
      <c r="H127" s="79">
        <v>0</v>
      </c>
      <c r="I127" s="71">
        <v>0</v>
      </c>
      <c r="J127" s="71">
        <v>0</v>
      </c>
      <c r="K127" s="71">
        <v>0</v>
      </c>
      <c r="L127" s="71">
        <v>0</v>
      </c>
      <c r="M127" s="79">
        <v>0</v>
      </c>
      <c r="N127" s="79">
        <v>0</v>
      </c>
      <c r="O127" s="71">
        <v>0</v>
      </c>
      <c r="P127" s="24"/>
      <c r="Q127" s="1"/>
    </row>
    <row r="128" spans="1:17" ht="18">
      <c r="A128" s="3"/>
      <c r="B128" s="5" t="s">
        <v>35</v>
      </c>
      <c r="C128" s="104" t="s">
        <v>33</v>
      </c>
      <c r="D128" s="76">
        <v>0</v>
      </c>
      <c r="E128" s="107">
        <v>148.6</v>
      </c>
      <c r="F128" s="71">
        <v>0</v>
      </c>
      <c r="G128" s="76">
        <v>42</v>
      </c>
      <c r="H128" s="76">
        <v>270</v>
      </c>
      <c r="I128" s="71">
        <f t="shared" si="14"/>
        <v>542.8571428571429</v>
      </c>
      <c r="J128" s="71">
        <v>0</v>
      </c>
      <c r="K128" s="71">
        <v>1.9</v>
      </c>
      <c r="L128" s="71">
        <v>0</v>
      </c>
      <c r="M128" s="79">
        <v>115</v>
      </c>
      <c r="N128" s="79">
        <v>222</v>
      </c>
      <c r="O128" s="106">
        <v>0</v>
      </c>
      <c r="P128" s="24"/>
      <c r="Q128" s="1"/>
    </row>
    <row r="129" spans="1:17" ht="18">
      <c r="A129" s="3"/>
      <c r="B129" s="5" t="s">
        <v>36</v>
      </c>
      <c r="C129" s="104" t="s">
        <v>33</v>
      </c>
      <c r="D129" s="76">
        <v>8</v>
      </c>
      <c r="E129" s="107">
        <v>0</v>
      </c>
      <c r="F129" s="71">
        <f t="shared" si="13"/>
        <v>-100</v>
      </c>
      <c r="G129" s="76">
        <v>420</v>
      </c>
      <c r="H129" s="76">
        <v>793</v>
      </c>
      <c r="I129" s="71">
        <f t="shared" si="14"/>
        <v>88.80952380952381</v>
      </c>
      <c r="J129" s="71">
        <v>0</v>
      </c>
      <c r="K129" s="71">
        <v>7.1</v>
      </c>
      <c r="L129" s="71">
        <v>0</v>
      </c>
      <c r="M129" s="76">
        <v>421</v>
      </c>
      <c r="N129" s="76">
        <v>815</v>
      </c>
      <c r="O129" s="106">
        <f>(N129-M129)/M129*100</f>
        <v>93.58669833729216</v>
      </c>
      <c r="P129" s="24"/>
      <c r="Q129" s="1"/>
    </row>
    <row r="130" spans="1:17" ht="18">
      <c r="A130" s="3"/>
      <c r="B130" s="5" t="s">
        <v>37</v>
      </c>
      <c r="C130" s="104" t="s">
        <v>12</v>
      </c>
      <c r="D130" s="79">
        <v>0</v>
      </c>
      <c r="E130" s="79">
        <v>0</v>
      </c>
      <c r="F130" s="71">
        <v>0</v>
      </c>
      <c r="G130" s="79">
        <v>0</v>
      </c>
      <c r="H130" s="79">
        <v>0</v>
      </c>
      <c r="I130" s="71">
        <v>0</v>
      </c>
      <c r="J130" s="71">
        <v>0</v>
      </c>
      <c r="K130" s="71">
        <v>0</v>
      </c>
      <c r="L130" s="71">
        <v>0</v>
      </c>
      <c r="M130" s="79">
        <v>0</v>
      </c>
      <c r="N130" s="79">
        <v>0</v>
      </c>
      <c r="O130" s="71">
        <v>0</v>
      </c>
      <c r="P130" s="24"/>
      <c r="Q130" s="1"/>
    </row>
    <row r="131" spans="1:17" ht="18">
      <c r="A131" s="3"/>
      <c r="B131" s="5" t="s">
        <v>27</v>
      </c>
      <c r="C131" s="104" t="s">
        <v>12</v>
      </c>
      <c r="D131" s="76">
        <v>0</v>
      </c>
      <c r="E131" s="107">
        <v>0</v>
      </c>
      <c r="F131" s="71">
        <v>0</v>
      </c>
      <c r="G131" s="79">
        <v>0</v>
      </c>
      <c r="H131" s="79">
        <v>0</v>
      </c>
      <c r="I131" s="71">
        <v>0</v>
      </c>
      <c r="J131" s="71">
        <v>0</v>
      </c>
      <c r="K131" s="71">
        <v>0</v>
      </c>
      <c r="L131" s="71">
        <v>0</v>
      </c>
      <c r="M131" s="79">
        <v>0</v>
      </c>
      <c r="N131" s="79">
        <v>0</v>
      </c>
      <c r="O131" s="71">
        <v>0</v>
      </c>
      <c r="P131" s="17"/>
      <c r="Q131" s="1"/>
    </row>
    <row r="132" spans="1:17" ht="18">
      <c r="A132" s="3"/>
      <c r="B132" s="5" t="s">
        <v>38</v>
      </c>
      <c r="C132" s="104" t="s">
        <v>12</v>
      </c>
      <c r="D132" s="76">
        <v>382</v>
      </c>
      <c r="E132" s="107">
        <v>188.2</v>
      </c>
      <c r="F132" s="71">
        <f t="shared" si="13"/>
        <v>-50.73298429319372</v>
      </c>
      <c r="G132" s="76">
        <v>15491</v>
      </c>
      <c r="H132" s="76">
        <v>14680</v>
      </c>
      <c r="I132" s="71">
        <f t="shared" si="14"/>
        <v>-5.235297914918339</v>
      </c>
      <c r="J132" s="76">
        <v>4.5</v>
      </c>
      <c r="K132" s="76">
        <v>17.3</v>
      </c>
      <c r="L132" s="71">
        <f>(K132-J132)/J132*100</f>
        <v>284.44444444444446</v>
      </c>
      <c r="M132" s="76">
        <v>721</v>
      </c>
      <c r="N132" s="76">
        <v>1057</v>
      </c>
      <c r="O132" s="106">
        <f>(N132-M132)/M132*100</f>
        <v>46.601941747572816</v>
      </c>
      <c r="P132" s="17"/>
      <c r="Q132" s="1"/>
    </row>
    <row r="133" spans="1:17" ht="18">
      <c r="A133" s="3">
        <v>6</v>
      </c>
      <c r="B133" s="6" t="s">
        <v>58</v>
      </c>
      <c r="C133" s="104" t="s">
        <v>39</v>
      </c>
      <c r="D133" s="94">
        <v>1</v>
      </c>
      <c r="E133" s="94">
        <v>1</v>
      </c>
      <c r="F133" s="75">
        <f t="shared" si="13"/>
        <v>0</v>
      </c>
      <c r="G133" s="94">
        <v>177</v>
      </c>
      <c r="H133" s="94">
        <v>178</v>
      </c>
      <c r="I133" s="71">
        <f t="shared" si="14"/>
        <v>0.5649717514124294</v>
      </c>
      <c r="J133" s="109">
        <v>31</v>
      </c>
      <c r="K133" s="109">
        <v>36</v>
      </c>
      <c r="L133" s="75">
        <f>(K133-J133)/J133*100</f>
        <v>16.129032258064516</v>
      </c>
      <c r="M133" s="94">
        <v>117</v>
      </c>
      <c r="N133" s="94">
        <v>111</v>
      </c>
      <c r="O133" s="105">
        <f>(N133-M133)/M133*100</f>
        <v>-5.128205128205128</v>
      </c>
      <c r="P133" s="24"/>
      <c r="Q133" s="1"/>
    </row>
    <row r="134" spans="1:17" ht="18">
      <c r="A134" s="3"/>
      <c r="B134" s="7" t="s">
        <v>40</v>
      </c>
      <c r="C134" s="104" t="s">
        <v>39</v>
      </c>
      <c r="D134" s="78">
        <v>1</v>
      </c>
      <c r="E134" s="78">
        <v>1</v>
      </c>
      <c r="F134" s="71">
        <f t="shared" si="13"/>
        <v>0</v>
      </c>
      <c r="G134" s="78">
        <v>65</v>
      </c>
      <c r="H134" s="78">
        <v>65</v>
      </c>
      <c r="I134" s="71">
        <f t="shared" si="14"/>
        <v>0</v>
      </c>
      <c r="J134" s="78">
        <v>3</v>
      </c>
      <c r="K134" s="78">
        <v>4</v>
      </c>
      <c r="L134" s="71">
        <f>(K134-J134)/J134*100</f>
        <v>33.33333333333333</v>
      </c>
      <c r="M134" s="78">
        <v>7</v>
      </c>
      <c r="N134" s="78">
        <v>7</v>
      </c>
      <c r="O134" s="106">
        <f>(N134-M134)/M134*100</f>
        <v>0</v>
      </c>
      <c r="P134" s="24"/>
      <c r="Q134" s="1"/>
    </row>
    <row r="135" spans="1:17" ht="18">
      <c r="A135" s="3">
        <v>7</v>
      </c>
      <c r="B135" s="6" t="s">
        <v>41</v>
      </c>
      <c r="C135" s="104" t="s">
        <v>33</v>
      </c>
      <c r="D135" s="114">
        <v>9.2</v>
      </c>
      <c r="E135" s="114">
        <v>4</v>
      </c>
      <c r="F135" s="71">
        <f>(E137-D137)/D137*100</f>
        <v>-65.56689821019494</v>
      </c>
      <c r="G135" s="79">
        <v>13143.7</v>
      </c>
      <c r="H135" s="79">
        <v>16922.9</v>
      </c>
      <c r="I135" s="71">
        <f t="shared" si="14"/>
        <v>28.752938670237455</v>
      </c>
      <c r="J135" s="74">
        <v>801.6</v>
      </c>
      <c r="K135" s="74">
        <v>1125.8</v>
      </c>
      <c r="L135" s="75">
        <f>(K135-J135)/J135*100</f>
        <v>40.444111776447095</v>
      </c>
      <c r="M135" s="79">
        <v>8019</v>
      </c>
      <c r="N135" s="79">
        <v>10237.8</v>
      </c>
      <c r="O135" s="106">
        <f>(N135-M135)/M135*100</f>
        <v>27.669285447063213</v>
      </c>
      <c r="P135" s="24"/>
      <c r="Q135" s="1"/>
    </row>
    <row r="136" spans="1:17" ht="18">
      <c r="A136" s="3">
        <v>8</v>
      </c>
      <c r="B136" s="6" t="s">
        <v>42</v>
      </c>
      <c r="C136" s="112"/>
      <c r="D136" s="79"/>
      <c r="E136" s="79"/>
      <c r="F136" s="71"/>
      <c r="G136" s="79"/>
      <c r="H136" s="79"/>
      <c r="I136" s="71"/>
      <c r="J136" s="79"/>
      <c r="K136" s="79"/>
      <c r="L136" s="71"/>
      <c r="M136" s="79"/>
      <c r="N136" s="79"/>
      <c r="O136" s="106"/>
      <c r="P136" s="24"/>
      <c r="Q136" s="1"/>
    </row>
    <row r="137" spans="1:17" ht="18">
      <c r="A137" s="3"/>
      <c r="B137" s="7" t="s">
        <v>43</v>
      </c>
      <c r="C137" s="104" t="s">
        <v>44</v>
      </c>
      <c r="D137" s="79">
        <v>9214.97</v>
      </c>
      <c r="E137" s="79">
        <v>3173</v>
      </c>
      <c r="F137" s="71">
        <f>(E137-D137)/D137*100</f>
        <v>-65.56689821019494</v>
      </c>
      <c r="G137" s="79">
        <v>6268.61</v>
      </c>
      <c r="H137" s="79">
        <v>8027.39</v>
      </c>
      <c r="I137" s="71">
        <f>(H137-G137)/G137*100</f>
        <v>28.056937662416402</v>
      </c>
      <c r="J137" s="79">
        <v>3200</v>
      </c>
      <c r="K137" s="79">
        <v>3723</v>
      </c>
      <c r="L137" s="71">
        <f>(K137-J137)/J137*100</f>
        <v>16.34375</v>
      </c>
      <c r="M137" s="79">
        <v>5711.58</v>
      </c>
      <c r="N137" s="79">
        <v>7686.01</v>
      </c>
      <c r="O137" s="106">
        <f>(N137-M137)/M137*100</f>
        <v>34.56889337101118</v>
      </c>
      <c r="P137" s="24"/>
      <c r="Q137" s="1"/>
    </row>
    <row r="138" spans="1:17" ht="18">
      <c r="A138" s="3"/>
      <c r="B138" s="7" t="s">
        <v>45</v>
      </c>
      <c r="C138" s="104" t="s">
        <v>44</v>
      </c>
      <c r="D138" s="79">
        <v>9214.97</v>
      </c>
      <c r="E138" s="79">
        <v>3173</v>
      </c>
      <c r="F138" s="71">
        <f>(E138-D138)/D138*100</f>
        <v>-65.56689821019494</v>
      </c>
      <c r="G138" s="79">
        <v>29854.57</v>
      </c>
      <c r="H138" s="79">
        <v>37267.23</v>
      </c>
      <c r="I138" s="71">
        <f>(H138-G138)/G138*100</f>
        <v>24.829230499719152</v>
      </c>
      <c r="J138" s="79">
        <v>10616.83</v>
      </c>
      <c r="K138" s="79">
        <v>14279.81</v>
      </c>
      <c r="L138" s="71">
        <f>(K138-J138)/J138*100</f>
        <v>34.501635610629535</v>
      </c>
      <c r="M138" s="79">
        <v>16076.6</v>
      </c>
      <c r="N138" s="79">
        <v>33452.13</v>
      </c>
      <c r="O138" s="106">
        <f>(N138-M138)/M138*100</f>
        <v>108.07963126531727</v>
      </c>
      <c r="P138" s="24"/>
      <c r="Q138" s="1"/>
    </row>
    <row r="139" spans="1:17" ht="18">
      <c r="A139" s="3">
        <v>9</v>
      </c>
      <c r="B139" s="6" t="s">
        <v>46</v>
      </c>
      <c r="C139" s="104" t="s">
        <v>47</v>
      </c>
      <c r="D139" s="79">
        <v>0</v>
      </c>
      <c r="E139" s="79">
        <v>0</v>
      </c>
      <c r="F139" s="71"/>
      <c r="G139" s="79">
        <f>G102/G100*100</f>
        <v>11.809047321242442</v>
      </c>
      <c r="H139" s="79">
        <f>H102/H100*100</f>
        <v>0.9596984216054445</v>
      </c>
      <c r="I139" s="115"/>
      <c r="J139" s="79">
        <v>0</v>
      </c>
      <c r="K139" s="79">
        <v>0</v>
      </c>
      <c r="L139" s="71"/>
      <c r="M139" s="79">
        <f>0</f>
        <v>0</v>
      </c>
      <c r="N139" s="79">
        <f>N102/N100*100</f>
        <v>4.455239417071478</v>
      </c>
      <c r="O139" s="79"/>
      <c r="P139" s="24"/>
      <c r="Q139" s="1"/>
    </row>
    <row r="140" spans="1:17" ht="18">
      <c r="A140" s="3">
        <v>10</v>
      </c>
      <c r="B140" s="6" t="s">
        <v>48</v>
      </c>
      <c r="C140" s="104" t="s">
        <v>47</v>
      </c>
      <c r="D140" s="79">
        <v>0</v>
      </c>
      <c r="E140" s="79">
        <v>0</v>
      </c>
      <c r="F140" s="71"/>
      <c r="G140" s="79">
        <f>16246/83496*100</f>
        <v>19.457219507521316</v>
      </c>
      <c r="H140" s="79">
        <f>2360/93091*100</f>
        <v>2.5351537742638923</v>
      </c>
      <c r="I140" s="115"/>
      <c r="J140" s="79">
        <v>0</v>
      </c>
      <c r="K140" s="79">
        <v>0</v>
      </c>
      <c r="L140" s="71"/>
      <c r="M140" s="79">
        <v>0</v>
      </c>
      <c r="N140" s="116">
        <f>855/73746*100</f>
        <v>1.159384915792043</v>
      </c>
      <c r="O140" s="79"/>
      <c r="P140" s="24"/>
      <c r="Q140" s="1"/>
    </row>
    <row r="141" spans="1:17" ht="18">
      <c r="A141" s="8"/>
      <c r="B141" s="9"/>
      <c r="C141" s="21"/>
      <c r="D141" s="21"/>
      <c r="E141" s="21"/>
      <c r="F141" s="21"/>
      <c r="G141" s="21"/>
      <c r="H141" s="21"/>
      <c r="I141" s="21"/>
      <c r="J141" s="21"/>
      <c r="K141" s="17"/>
      <c r="L141" s="21"/>
      <c r="M141" s="21"/>
      <c r="N141" s="30"/>
      <c r="O141" s="31"/>
      <c r="P141" s="24"/>
      <c r="Q141" s="1"/>
    </row>
    <row r="142" spans="1:17" ht="18">
      <c r="A142" s="8"/>
      <c r="B142" s="9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80"/>
      <c r="P142" s="25"/>
      <c r="Q142" s="1"/>
    </row>
    <row r="143" spans="1:17" ht="18">
      <c r="A143" s="8"/>
      <c r="B143" s="9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80"/>
      <c r="P143" s="25"/>
      <c r="Q143" s="1"/>
    </row>
    <row r="144" spans="1:17" ht="43.5" customHeight="1">
      <c r="A144" s="137" t="s">
        <v>2</v>
      </c>
      <c r="B144" s="144" t="s">
        <v>3</v>
      </c>
      <c r="C144" s="142"/>
      <c r="D144" s="134" t="s">
        <v>53</v>
      </c>
      <c r="E144" s="135"/>
      <c r="F144" s="136"/>
      <c r="G144" s="134" t="s">
        <v>79</v>
      </c>
      <c r="H144" s="135"/>
      <c r="I144" s="136"/>
      <c r="J144" s="133" t="s">
        <v>54</v>
      </c>
      <c r="K144" s="133"/>
      <c r="L144" s="133"/>
      <c r="M144" s="133" t="s">
        <v>57</v>
      </c>
      <c r="N144" s="133"/>
      <c r="O144" s="133"/>
      <c r="P144" s="25"/>
      <c r="Q144" s="1"/>
    </row>
    <row r="145" spans="1:17" ht="17.25">
      <c r="A145" s="138"/>
      <c r="B145" s="145"/>
      <c r="C145" s="143"/>
      <c r="D145" s="73" t="s">
        <v>73</v>
      </c>
      <c r="E145" s="66" t="s">
        <v>77</v>
      </c>
      <c r="F145" s="66" t="s">
        <v>5</v>
      </c>
      <c r="G145" s="73" t="s">
        <v>73</v>
      </c>
      <c r="H145" s="66" t="s">
        <v>77</v>
      </c>
      <c r="I145" s="66" t="s">
        <v>5</v>
      </c>
      <c r="J145" s="66" t="s">
        <v>73</v>
      </c>
      <c r="K145" s="66" t="s">
        <v>77</v>
      </c>
      <c r="L145" s="66" t="s">
        <v>5</v>
      </c>
      <c r="M145" s="73" t="s">
        <v>73</v>
      </c>
      <c r="N145" s="66" t="s">
        <v>77</v>
      </c>
      <c r="O145" s="113" t="s">
        <v>5</v>
      </c>
      <c r="P145" s="28"/>
      <c r="Q145" s="1"/>
    </row>
    <row r="146" spans="1:17" ht="34.5">
      <c r="A146" s="3">
        <v>1</v>
      </c>
      <c r="B146" s="4" t="s">
        <v>70</v>
      </c>
      <c r="C146" s="104" t="s">
        <v>6</v>
      </c>
      <c r="D146" s="74">
        <v>9959</v>
      </c>
      <c r="E146" s="74">
        <v>10209</v>
      </c>
      <c r="F146" s="75">
        <f>(E146-D146)/D146*100</f>
        <v>2.5102921980118484</v>
      </c>
      <c r="G146" s="74">
        <v>0</v>
      </c>
      <c r="H146" s="74">
        <v>0</v>
      </c>
      <c r="I146" s="75" t="s">
        <v>61</v>
      </c>
      <c r="J146" s="74">
        <v>12570</v>
      </c>
      <c r="K146" s="74">
        <v>13539</v>
      </c>
      <c r="L146" s="75">
        <f>(K146-J146)/J146*100</f>
        <v>7.708830548926014</v>
      </c>
      <c r="M146" s="74">
        <v>1493.9</v>
      </c>
      <c r="N146" s="74">
        <v>835.2</v>
      </c>
      <c r="O146" s="77">
        <f>(N146-M146)/M146*100</f>
        <v>-44.092643416560676</v>
      </c>
      <c r="P146" s="23"/>
      <c r="Q146" s="1"/>
    </row>
    <row r="147" spans="1:17" ht="18">
      <c r="A147" s="3"/>
      <c r="B147" s="5" t="s">
        <v>7</v>
      </c>
      <c r="C147" s="104"/>
      <c r="D147" s="76"/>
      <c r="E147" s="76"/>
      <c r="F147" s="71"/>
      <c r="G147" s="76"/>
      <c r="H147" s="76"/>
      <c r="I147" s="71"/>
      <c r="J147" s="76"/>
      <c r="K147" s="76"/>
      <c r="L147" s="71"/>
      <c r="M147" s="76"/>
      <c r="N147" s="76"/>
      <c r="O147" s="71"/>
      <c r="P147" s="24"/>
      <c r="Q147" s="1"/>
    </row>
    <row r="148" spans="1:17" ht="18">
      <c r="A148" s="3"/>
      <c r="B148" s="5" t="s">
        <v>8</v>
      </c>
      <c r="C148" s="104" t="s">
        <v>6</v>
      </c>
      <c r="D148" s="76"/>
      <c r="E148" s="76"/>
      <c r="F148" s="71" t="s">
        <v>61</v>
      </c>
      <c r="G148" s="76"/>
      <c r="H148" s="76"/>
      <c r="I148" s="71" t="s">
        <v>61</v>
      </c>
      <c r="J148" s="76">
        <v>28</v>
      </c>
      <c r="K148" s="76" t="s">
        <v>61</v>
      </c>
      <c r="L148" s="71" t="s">
        <v>61</v>
      </c>
      <c r="M148" s="76">
        <v>11.2</v>
      </c>
      <c r="N148" s="76" t="s">
        <v>61</v>
      </c>
      <c r="O148" s="77" t="s">
        <v>61</v>
      </c>
      <c r="P148" s="24"/>
      <c r="Q148" s="1"/>
    </row>
    <row r="149" spans="1:17" ht="18">
      <c r="A149" s="3"/>
      <c r="B149" s="5" t="s">
        <v>9</v>
      </c>
      <c r="C149" s="104" t="s">
        <v>6</v>
      </c>
      <c r="D149" s="76">
        <v>1591</v>
      </c>
      <c r="E149" s="76">
        <v>7975</v>
      </c>
      <c r="F149" s="71">
        <f>(E149-D149)/D149*100</f>
        <v>401.25707102451287</v>
      </c>
      <c r="G149" s="76">
        <v>176.8</v>
      </c>
      <c r="H149" s="76">
        <v>86.2</v>
      </c>
      <c r="I149" s="71">
        <f>(H149-G149)/G149*100</f>
        <v>-51.24434389140272</v>
      </c>
      <c r="J149" s="76" t="s">
        <v>61</v>
      </c>
      <c r="K149" s="76">
        <v>580</v>
      </c>
      <c r="L149" s="71" t="s">
        <v>61</v>
      </c>
      <c r="M149" s="76" t="s">
        <v>61</v>
      </c>
      <c r="N149" s="76">
        <v>552.9</v>
      </c>
      <c r="O149" s="71" t="s">
        <v>61</v>
      </c>
      <c r="P149" s="24"/>
      <c r="Q149" s="1"/>
    </row>
    <row r="150" spans="1:17" ht="18">
      <c r="A150" s="3">
        <v>2</v>
      </c>
      <c r="B150" s="4" t="s">
        <v>10</v>
      </c>
      <c r="C150" s="104"/>
      <c r="D150" s="76"/>
      <c r="E150" s="76"/>
      <c r="F150" s="71"/>
      <c r="G150" s="76"/>
      <c r="H150" s="76"/>
      <c r="I150" s="71"/>
      <c r="J150" s="76"/>
      <c r="K150" s="76"/>
      <c r="L150" s="71"/>
      <c r="M150" s="76"/>
      <c r="N150" s="76"/>
      <c r="O150" s="71"/>
      <c r="P150" s="24"/>
      <c r="Q150" s="1"/>
    </row>
    <row r="151" spans="1:17" ht="18">
      <c r="A151" s="3"/>
      <c r="B151" s="5" t="s">
        <v>11</v>
      </c>
      <c r="C151" s="104" t="s">
        <v>12</v>
      </c>
      <c r="D151" s="76">
        <v>10489</v>
      </c>
      <c r="E151" s="76">
        <v>8563</v>
      </c>
      <c r="F151" s="71">
        <f aca="true" t="shared" si="15" ref="F151:F184">(E151-D151)/D151*100</f>
        <v>-18.3620936218896</v>
      </c>
      <c r="G151" s="76">
        <v>191.7</v>
      </c>
      <c r="H151" s="76">
        <v>191.7</v>
      </c>
      <c r="I151" s="71">
        <f aca="true" t="shared" si="16" ref="I151:I161">(H151-G151)/G151*100</f>
        <v>0</v>
      </c>
      <c r="J151" s="76">
        <v>890</v>
      </c>
      <c r="K151" s="76">
        <v>637</v>
      </c>
      <c r="L151" s="71">
        <f aca="true" t="shared" si="17" ref="L151:L184">(K151-J151)/J151*100</f>
        <v>-28.426966292134832</v>
      </c>
      <c r="M151" s="76">
        <v>215.7</v>
      </c>
      <c r="N151" s="76">
        <v>178</v>
      </c>
      <c r="O151" s="79">
        <f aca="true" t="shared" si="18" ref="O151:O181">(N151-M151)/M151*100</f>
        <v>-17.477978674084373</v>
      </c>
      <c r="P151" s="24"/>
      <c r="Q151" s="1"/>
    </row>
    <row r="152" spans="1:17" ht="18">
      <c r="A152" s="3"/>
      <c r="B152" s="5" t="s">
        <v>13</v>
      </c>
      <c r="C152" s="104" t="s">
        <v>12</v>
      </c>
      <c r="D152" s="76">
        <v>36759</v>
      </c>
      <c r="E152" s="76">
        <v>37262</v>
      </c>
      <c r="F152" s="71">
        <f t="shared" si="15"/>
        <v>1.36837237139204</v>
      </c>
      <c r="G152" s="76">
        <v>424.3</v>
      </c>
      <c r="H152" s="76">
        <v>424.3</v>
      </c>
      <c r="I152" s="71">
        <f t="shared" si="16"/>
        <v>0</v>
      </c>
      <c r="J152" s="76">
        <v>2220</v>
      </c>
      <c r="K152" s="76">
        <v>2220</v>
      </c>
      <c r="L152" s="71">
        <f t="shared" si="17"/>
        <v>0</v>
      </c>
      <c r="M152" s="76">
        <v>793.9</v>
      </c>
      <c r="N152" s="76">
        <v>793.9</v>
      </c>
      <c r="O152" s="79">
        <f t="shared" si="18"/>
        <v>0</v>
      </c>
      <c r="P152" s="24"/>
      <c r="Q152" s="1"/>
    </row>
    <row r="153" spans="1:17" ht="18">
      <c r="A153" s="3"/>
      <c r="B153" s="5" t="s">
        <v>14</v>
      </c>
      <c r="C153" s="104" t="s">
        <v>12</v>
      </c>
      <c r="D153" s="76">
        <v>26270</v>
      </c>
      <c r="E153" s="76">
        <v>28699</v>
      </c>
      <c r="F153" s="71">
        <f t="shared" si="15"/>
        <v>9.24628854206319</v>
      </c>
      <c r="G153" s="76">
        <v>232.6</v>
      </c>
      <c r="H153" s="76">
        <v>232.6</v>
      </c>
      <c r="I153" s="71">
        <f t="shared" si="16"/>
        <v>0</v>
      </c>
      <c r="J153" s="76">
        <v>1330</v>
      </c>
      <c r="K153" s="76">
        <v>1583</v>
      </c>
      <c r="L153" s="71">
        <f t="shared" si="17"/>
        <v>19.022556390977442</v>
      </c>
      <c r="M153" s="76">
        <v>578.2</v>
      </c>
      <c r="N153" s="76">
        <v>615.9</v>
      </c>
      <c r="O153" s="79">
        <f t="shared" si="18"/>
        <v>6.520235212729148</v>
      </c>
      <c r="P153" s="24"/>
      <c r="Q153" s="1"/>
    </row>
    <row r="154" spans="1:17" ht="18">
      <c r="A154" s="3">
        <v>3</v>
      </c>
      <c r="B154" s="4" t="s">
        <v>15</v>
      </c>
      <c r="C154" s="104" t="s">
        <v>12</v>
      </c>
      <c r="D154" s="74">
        <f>SUM(D155:D159)</f>
        <v>34450</v>
      </c>
      <c r="E154" s="74">
        <f>SUM(E155:E159)</f>
        <v>43364</v>
      </c>
      <c r="F154" s="77">
        <f>(E154-D154)/D154*100</f>
        <v>25.875181422351233</v>
      </c>
      <c r="G154" s="74">
        <f>SUM(G155:G159)</f>
        <v>219.3</v>
      </c>
      <c r="H154" s="74">
        <f>SUM(H155:H159)</f>
        <v>257.1</v>
      </c>
      <c r="I154" s="77">
        <f t="shared" si="16"/>
        <v>17.23666210670315</v>
      </c>
      <c r="J154" s="74">
        <f>SUM(J155:J159)</f>
        <v>14968</v>
      </c>
      <c r="K154" s="74">
        <f>SUM(K155:K159)</f>
        <v>10531</v>
      </c>
      <c r="L154" s="82">
        <f t="shared" si="17"/>
        <v>-29.64323890967397</v>
      </c>
      <c r="M154" s="74">
        <f>SUM(M155:M159)</f>
        <v>1722.8999999999996</v>
      </c>
      <c r="N154" s="74">
        <f>SUM(N155:N159)</f>
        <v>1504.8</v>
      </c>
      <c r="O154" s="79">
        <f t="shared" si="18"/>
        <v>-12.658889082361119</v>
      </c>
      <c r="P154" s="24"/>
      <c r="Q154" s="1"/>
    </row>
    <row r="155" spans="1:17" ht="18">
      <c r="A155" s="3"/>
      <c r="B155" s="5" t="s">
        <v>16</v>
      </c>
      <c r="C155" s="104" t="s">
        <v>12</v>
      </c>
      <c r="D155" s="76">
        <v>11242</v>
      </c>
      <c r="E155" s="76">
        <v>14372</v>
      </c>
      <c r="F155" s="71">
        <f t="shared" si="15"/>
        <v>27.842020992705923</v>
      </c>
      <c r="G155" s="76">
        <v>0</v>
      </c>
      <c r="H155" s="76">
        <v>5.7</v>
      </c>
      <c r="I155" s="71">
        <v>0</v>
      </c>
      <c r="J155" s="76">
        <v>9492</v>
      </c>
      <c r="K155" s="76">
        <v>4676</v>
      </c>
      <c r="L155" s="71">
        <f t="shared" si="17"/>
        <v>-50.737463126843664</v>
      </c>
      <c r="M155" s="76">
        <v>510.4</v>
      </c>
      <c r="N155" s="76">
        <v>526.8</v>
      </c>
      <c r="O155" s="79">
        <f t="shared" si="18"/>
        <v>3.2131661442006227</v>
      </c>
      <c r="P155" s="17"/>
      <c r="Q155" s="1"/>
    </row>
    <row r="156" spans="1:17" ht="18">
      <c r="A156" s="3"/>
      <c r="B156" s="5" t="s">
        <v>17</v>
      </c>
      <c r="C156" s="104" t="s">
        <v>12</v>
      </c>
      <c r="D156" s="76">
        <v>14024</v>
      </c>
      <c r="E156" s="76">
        <v>20070</v>
      </c>
      <c r="F156" s="71">
        <f t="shared" si="15"/>
        <v>43.11180832857958</v>
      </c>
      <c r="G156" s="76">
        <v>83.2</v>
      </c>
      <c r="H156" s="76">
        <v>46.4</v>
      </c>
      <c r="I156" s="71">
        <f t="shared" si="16"/>
        <v>-44.23076923076923</v>
      </c>
      <c r="J156" s="76">
        <v>3590</v>
      </c>
      <c r="K156" s="76">
        <v>4044</v>
      </c>
      <c r="L156" s="71">
        <f t="shared" si="17"/>
        <v>12.646239554317548</v>
      </c>
      <c r="M156" s="76">
        <v>731.8</v>
      </c>
      <c r="N156" s="76">
        <v>677.9</v>
      </c>
      <c r="O156" s="79">
        <f t="shared" si="18"/>
        <v>-7.3654003826181995</v>
      </c>
      <c r="P156" s="24"/>
      <c r="Q156" s="1"/>
    </row>
    <row r="157" spans="1:17" ht="18">
      <c r="A157" s="3"/>
      <c r="B157" s="5" t="s">
        <v>18</v>
      </c>
      <c r="C157" s="104" t="s">
        <v>12</v>
      </c>
      <c r="D157" s="76">
        <v>2952</v>
      </c>
      <c r="E157" s="76">
        <v>4204</v>
      </c>
      <c r="F157" s="71">
        <f t="shared" si="15"/>
        <v>42.41192411924119</v>
      </c>
      <c r="G157" s="76">
        <v>15.1</v>
      </c>
      <c r="H157" s="76">
        <v>10.2</v>
      </c>
      <c r="I157" s="71">
        <f t="shared" si="16"/>
        <v>-32.450331125827816</v>
      </c>
      <c r="J157" s="76">
        <v>897</v>
      </c>
      <c r="K157" s="76">
        <v>1060</v>
      </c>
      <c r="L157" s="71">
        <f t="shared" si="17"/>
        <v>18.171683389074694</v>
      </c>
      <c r="M157" s="76">
        <v>162.5</v>
      </c>
      <c r="N157" s="76">
        <v>159.5</v>
      </c>
      <c r="O157" s="79">
        <f t="shared" si="18"/>
        <v>-1.8461538461538463</v>
      </c>
      <c r="P157" s="24"/>
      <c r="Q157" s="1"/>
    </row>
    <row r="158" spans="1:17" ht="18">
      <c r="A158" s="3"/>
      <c r="B158" s="5" t="s">
        <v>19</v>
      </c>
      <c r="C158" s="104" t="s">
        <v>12</v>
      </c>
      <c r="D158" s="76">
        <v>2458</v>
      </c>
      <c r="E158" s="76">
        <v>2455</v>
      </c>
      <c r="F158" s="71">
        <f t="shared" si="15"/>
        <v>-0.12205044751830757</v>
      </c>
      <c r="G158" s="76">
        <v>42.1</v>
      </c>
      <c r="H158" s="76">
        <v>0</v>
      </c>
      <c r="I158" s="71">
        <f t="shared" si="16"/>
        <v>-100</v>
      </c>
      <c r="J158" s="76">
        <v>209</v>
      </c>
      <c r="K158" s="76">
        <v>243</v>
      </c>
      <c r="L158" s="71">
        <f t="shared" si="17"/>
        <v>16.267942583732058</v>
      </c>
      <c r="M158" s="76">
        <v>38.8</v>
      </c>
      <c r="N158" s="76">
        <v>37.7</v>
      </c>
      <c r="O158" s="79">
        <f t="shared" si="18"/>
        <v>-2.835051546391738</v>
      </c>
      <c r="P158" s="24"/>
      <c r="Q158" s="1"/>
    </row>
    <row r="159" spans="1:17" ht="18">
      <c r="A159" s="3"/>
      <c r="B159" s="5" t="s">
        <v>20</v>
      </c>
      <c r="C159" s="104" t="s">
        <v>12</v>
      </c>
      <c r="D159" s="76">
        <v>3774</v>
      </c>
      <c r="E159" s="76">
        <v>2263</v>
      </c>
      <c r="F159" s="71">
        <f t="shared" si="15"/>
        <v>-40.03709591944886</v>
      </c>
      <c r="G159" s="76">
        <v>78.9</v>
      </c>
      <c r="H159" s="76">
        <v>194.8</v>
      </c>
      <c r="I159" s="71">
        <f t="shared" si="16"/>
        <v>146.89480354879595</v>
      </c>
      <c r="J159" s="76">
        <v>780</v>
      </c>
      <c r="K159" s="76">
        <v>508</v>
      </c>
      <c r="L159" s="71">
        <f t="shared" si="17"/>
        <v>-34.87179487179487</v>
      </c>
      <c r="M159" s="76">
        <v>279.4</v>
      </c>
      <c r="N159" s="76">
        <v>102.9</v>
      </c>
      <c r="O159" s="79">
        <f t="shared" si="18"/>
        <v>-63.17108088761631</v>
      </c>
      <c r="P159" s="24"/>
      <c r="Q159" s="1"/>
    </row>
    <row r="160" spans="1:17" ht="18">
      <c r="A160" s="3">
        <v>4</v>
      </c>
      <c r="B160" s="4" t="s">
        <v>21</v>
      </c>
      <c r="C160" s="104" t="s">
        <v>12</v>
      </c>
      <c r="D160" s="74">
        <f>SUM(D161+SUM(D163:D167))</f>
        <v>2585</v>
      </c>
      <c r="E160" s="74">
        <f>SUM(E161+SUM(E163:E167))</f>
        <v>2640</v>
      </c>
      <c r="F160" s="75">
        <f t="shared" si="15"/>
        <v>2.127659574468085</v>
      </c>
      <c r="G160" s="74">
        <f>SUM(G161+SUM(G163:G167))</f>
        <v>606</v>
      </c>
      <c r="H160" s="74">
        <f>SUM(H161+SUM(H163:H167))</f>
        <v>527.6</v>
      </c>
      <c r="I160" s="75">
        <f t="shared" si="16"/>
        <v>-12.937293729372934</v>
      </c>
      <c r="J160" s="74">
        <f>SUM(J161+SUM(J163:J167))</f>
        <v>639</v>
      </c>
      <c r="K160" s="74">
        <f>SUM(K161+SUM(K163:K167))</f>
        <v>1334</v>
      </c>
      <c r="L160" s="75">
        <f t="shared" si="17"/>
        <v>108.76369327073552</v>
      </c>
      <c r="M160" s="74">
        <f>SUM(M161:M167)</f>
        <v>195.5</v>
      </c>
      <c r="N160" s="74">
        <f>SUM(N161:N167)</f>
        <v>162.4</v>
      </c>
      <c r="O160" s="79">
        <f t="shared" si="18"/>
        <v>-16.9309462915601</v>
      </c>
      <c r="P160" s="24"/>
      <c r="Q160" s="1"/>
    </row>
    <row r="161" spans="1:17" ht="24" customHeight="1">
      <c r="A161" s="3"/>
      <c r="B161" s="5" t="s">
        <v>22</v>
      </c>
      <c r="C161" s="104" t="s">
        <v>12</v>
      </c>
      <c r="D161" s="76">
        <v>91</v>
      </c>
      <c r="E161" s="76">
        <v>120</v>
      </c>
      <c r="F161" s="71">
        <f t="shared" si="15"/>
        <v>31.868131868131865</v>
      </c>
      <c r="G161" s="76">
        <v>606</v>
      </c>
      <c r="H161" s="76">
        <v>527.6</v>
      </c>
      <c r="I161" s="71">
        <f t="shared" si="16"/>
        <v>-12.937293729372934</v>
      </c>
      <c r="J161" s="76">
        <v>557</v>
      </c>
      <c r="K161" s="76">
        <v>1233</v>
      </c>
      <c r="L161" s="71">
        <f t="shared" si="17"/>
        <v>121.36445242369838</v>
      </c>
      <c r="M161" s="76">
        <v>193.3</v>
      </c>
      <c r="N161" s="76">
        <v>159.6</v>
      </c>
      <c r="O161" s="79">
        <f t="shared" si="18"/>
        <v>-17.434040351784798</v>
      </c>
      <c r="P161" s="24"/>
      <c r="Q161" s="1"/>
    </row>
    <row r="162" spans="1:17" ht="18">
      <c r="A162" s="3"/>
      <c r="B162" s="5" t="s">
        <v>23</v>
      </c>
      <c r="C162" s="104" t="s">
        <v>12</v>
      </c>
      <c r="D162" s="76"/>
      <c r="E162" s="76"/>
      <c r="F162" s="71"/>
      <c r="G162" s="76"/>
      <c r="H162" s="76"/>
      <c r="I162" s="71"/>
      <c r="J162" s="76"/>
      <c r="K162" s="76"/>
      <c r="L162" s="71"/>
      <c r="M162" s="76"/>
      <c r="N162" s="76"/>
      <c r="O162" s="71"/>
      <c r="P162" s="24"/>
      <c r="Q162" s="1"/>
    </row>
    <row r="163" spans="1:17" ht="18">
      <c r="A163" s="3"/>
      <c r="B163" s="5" t="s">
        <v>24</v>
      </c>
      <c r="C163" s="104" t="s">
        <v>12</v>
      </c>
      <c r="D163" s="76">
        <v>1</v>
      </c>
      <c r="E163" s="76">
        <v>10</v>
      </c>
      <c r="F163" s="71">
        <v>0</v>
      </c>
      <c r="G163" s="76">
        <v>0</v>
      </c>
      <c r="H163" s="76">
        <v>0</v>
      </c>
      <c r="I163" s="71">
        <v>0</v>
      </c>
      <c r="J163" s="71">
        <v>0</v>
      </c>
      <c r="K163" s="71">
        <v>98</v>
      </c>
      <c r="L163" s="71">
        <v>0</v>
      </c>
      <c r="M163" s="76">
        <v>2.2</v>
      </c>
      <c r="N163" s="76">
        <v>2.8</v>
      </c>
      <c r="O163" s="79">
        <f t="shared" si="18"/>
        <v>27.272727272727256</v>
      </c>
      <c r="P163" s="24"/>
      <c r="Q163" s="1"/>
    </row>
    <row r="164" spans="1:17" ht="18">
      <c r="A164" s="3"/>
      <c r="B164" s="5" t="s">
        <v>25</v>
      </c>
      <c r="C164" s="104" t="s">
        <v>12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82</v>
      </c>
      <c r="K164" s="76">
        <v>0</v>
      </c>
      <c r="L164" s="71">
        <f>(K164-J164)/J164*100</f>
        <v>-100</v>
      </c>
      <c r="M164" s="71">
        <v>0</v>
      </c>
      <c r="N164" s="71">
        <v>0</v>
      </c>
      <c r="O164" s="79">
        <v>0</v>
      </c>
      <c r="P164" s="24"/>
      <c r="Q164" s="1"/>
    </row>
    <row r="165" spans="1:17" ht="18">
      <c r="A165" s="3"/>
      <c r="B165" s="5" t="s">
        <v>26</v>
      </c>
      <c r="C165" s="104" t="s">
        <v>12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79">
        <v>0</v>
      </c>
      <c r="P165" s="24"/>
      <c r="Q165" s="1"/>
    </row>
    <row r="166" spans="1:17" ht="18">
      <c r="A166" s="3"/>
      <c r="B166" s="5" t="s">
        <v>27</v>
      </c>
      <c r="C166" s="104" t="s">
        <v>12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1">
        <v>0</v>
      </c>
      <c r="K166" s="71">
        <v>0</v>
      </c>
      <c r="L166" s="71">
        <v>0</v>
      </c>
      <c r="M166" s="71">
        <v>0</v>
      </c>
      <c r="N166" s="71">
        <v>0</v>
      </c>
      <c r="O166" s="79">
        <v>0</v>
      </c>
      <c r="P166" s="24"/>
      <c r="Q166" s="1"/>
    </row>
    <row r="167" spans="1:17" ht="18">
      <c r="A167" s="3"/>
      <c r="B167" s="5" t="s">
        <v>28</v>
      </c>
      <c r="C167" s="104" t="s">
        <v>12</v>
      </c>
      <c r="D167" s="76">
        <v>2493</v>
      </c>
      <c r="E167" s="76">
        <v>2510</v>
      </c>
      <c r="F167" s="71">
        <f t="shared" si="15"/>
        <v>0.681909346169274</v>
      </c>
      <c r="G167" s="76">
        <v>0</v>
      </c>
      <c r="H167" s="76">
        <v>0</v>
      </c>
      <c r="I167" s="71">
        <v>0</v>
      </c>
      <c r="J167" s="71">
        <v>0</v>
      </c>
      <c r="K167" s="71">
        <v>3</v>
      </c>
      <c r="L167" s="71">
        <v>0</v>
      </c>
      <c r="M167" s="71">
        <v>0</v>
      </c>
      <c r="N167" s="71">
        <v>0</v>
      </c>
      <c r="O167" s="79">
        <v>0</v>
      </c>
      <c r="P167" s="24"/>
      <c r="Q167" s="1"/>
    </row>
    <row r="168" spans="1:17" ht="18">
      <c r="A168" s="3">
        <v>5</v>
      </c>
      <c r="B168" s="4" t="s">
        <v>29</v>
      </c>
      <c r="C168" s="104" t="s">
        <v>12</v>
      </c>
      <c r="D168" s="74">
        <f>SUM(D169:D178)</f>
        <v>817</v>
      </c>
      <c r="E168" s="74">
        <f>SUM(E169:E178)</f>
        <v>2341</v>
      </c>
      <c r="F168" s="75">
        <f t="shared" si="15"/>
        <v>186.5361077111383</v>
      </c>
      <c r="G168" s="74">
        <f>SUM(G169:G178)</f>
        <v>2807.7</v>
      </c>
      <c r="H168" s="74">
        <f>SUM(H169:H178)</f>
        <v>2815.5</v>
      </c>
      <c r="I168" s="75">
        <f>(H168-G168)/G168*100</f>
        <v>0.2778074580617652</v>
      </c>
      <c r="J168" s="74">
        <f>SUM(J169:J178)</f>
        <v>584</v>
      </c>
      <c r="K168" s="74">
        <f>SUM(K169:K178)</f>
        <v>715</v>
      </c>
      <c r="L168" s="75">
        <f>(K168-J168)/J168*100</f>
        <v>22.43150684931507</v>
      </c>
      <c r="M168" s="74">
        <f>SUM(M169:M178)</f>
        <v>156.8</v>
      </c>
      <c r="N168" s="74">
        <f>SUM(N169:N178)</f>
        <v>661.7</v>
      </c>
      <c r="O168" s="77">
        <f t="shared" si="18"/>
        <v>322.0025510204082</v>
      </c>
      <c r="P168" s="24"/>
      <c r="Q168" s="1"/>
    </row>
    <row r="169" spans="1:17" ht="36">
      <c r="A169" s="3"/>
      <c r="B169" s="5" t="s">
        <v>30</v>
      </c>
      <c r="C169" s="104" t="s">
        <v>12</v>
      </c>
      <c r="D169" s="76">
        <v>86</v>
      </c>
      <c r="E169" s="76">
        <v>1460</v>
      </c>
      <c r="F169" s="71">
        <f t="shared" si="15"/>
        <v>1597.6744186046512</v>
      </c>
      <c r="G169" s="76">
        <v>394.7</v>
      </c>
      <c r="H169" s="76">
        <v>384.7</v>
      </c>
      <c r="I169" s="71">
        <f>(H169-G169)/G169*100</f>
        <v>-2.533569799847986</v>
      </c>
      <c r="J169" s="76">
        <v>327</v>
      </c>
      <c r="K169" s="76">
        <v>412</v>
      </c>
      <c r="L169" s="71">
        <f t="shared" si="17"/>
        <v>25.993883792048926</v>
      </c>
      <c r="M169" s="76">
        <v>51.2</v>
      </c>
      <c r="N169" s="76">
        <v>65.6</v>
      </c>
      <c r="O169" s="79">
        <f t="shared" si="18"/>
        <v>28.124999999999982</v>
      </c>
      <c r="P169" s="24"/>
      <c r="Q169" s="1"/>
    </row>
    <row r="170" spans="1:17" ht="18">
      <c r="A170" s="3"/>
      <c r="B170" s="5" t="s">
        <v>31</v>
      </c>
      <c r="C170" s="104"/>
      <c r="D170" s="76"/>
      <c r="E170" s="76"/>
      <c r="F170" s="71"/>
      <c r="G170" s="76"/>
      <c r="H170" s="76"/>
      <c r="I170" s="71"/>
      <c r="J170" s="76"/>
      <c r="K170" s="76"/>
      <c r="L170" s="71"/>
      <c r="M170" s="76"/>
      <c r="N170" s="76"/>
      <c r="O170" s="71"/>
      <c r="P170" s="24"/>
      <c r="Q170" s="1"/>
    </row>
    <row r="171" spans="1:17" ht="18">
      <c r="A171" s="3"/>
      <c r="B171" s="5" t="s">
        <v>32</v>
      </c>
      <c r="C171" s="104" t="s">
        <v>12</v>
      </c>
      <c r="D171" s="76">
        <v>0</v>
      </c>
      <c r="E171" s="76">
        <v>0</v>
      </c>
      <c r="F171" s="71">
        <v>0</v>
      </c>
      <c r="G171" s="76">
        <v>0</v>
      </c>
      <c r="H171" s="76"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v>0</v>
      </c>
      <c r="N171" s="71">
        <v>0</v>
      </c>
      <c r="O171" s="79">
        <v>0</v>
      </c>
      <c r="P171" s="24"/>
      <c r="Q171" s="1"/>
    </row>
    <row r="172" spans="1:17" ht="18">
      <c r="A172" s="3"/>
      <c r="B172" s="5" t="s">
        <v>24</v>
      </c>
      <c r="C172" s="104" t="s">
        <v>33</v>
      </c>
      <c r="D172" s="76">
        <v>317</v>
      </c>
      <c r="E172" s="76">
        <v>159</v>
      </c>
      <c r="F172" s="71">
        <f t="shared" si="15"/>
        <v>-49.8422712933754</v>
      </c>
      <c r="G172" s="76">
        <v>981.3</v>
      </c>
      <c r="H172" s="76">
        <v>1001.2</v>
      </c>
      <c r="I172" s="71">
        <f>(H172-G172)/G172*100</f>
        <v>2.027922144094578</v>
      </c>
      <c r="J172" s="76">
        <v>38</v>
      </c>
      <c r="K172" s="76">
        <v>16</v>
      </c>
      <c r="L172" s="71">
        <f t="shared" si="17"/>
        <v>-57.89473684210527</v>
      </c>
      <c r="M172" s="76">
        <v>35</v>
      </c>
      <c r="N172" s="76">
        <v>80.6</v>
      </c>
      <c r="O172" s="79">
        <f t="shared" si="18"/>
        <v>130.28571428571428</v>
      </c>
      <c r="P172" s="24"/>
      <c r="Q172" s="1"/>
    </row>
    <row r="173" spans="1:17" ht="18">
      <c r="A173" s="3"/>
      <c r="B173" s="5" t="s">
        <v>34</v>
      </c>
      <c r="C173" s="104" t="s">
        <v>33</v>
      </c>
      <c r="D173" s="71">
        <v>0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9">
        <v>0</v>
      </c>
      <c r="P173" s="24"/>
      <c r="Q173" s="1"/>
    </row>
    <row r="174" spans="1:17" ht="18">
      <c r="A174" s="3"/>
      <c r="B174" s="5" t="s">
        <v>35</v>
      </c>
      <c r="C174" s="104" t="s">
        <v>33</v>
      </c>
      <c r="D174" s="76">
        <v>69</v>
      </c>
      <c r="E174" s="76">
        <v>170</v>
      </c>
      <c r="F174" s="71">
        <f t="shared" si="15"/>
        <v>146.3768115942029</v>
      </c>
      <c r="G174" s="76">
        <v>0</v>
      </c>
      <c r="H174" s="76">
        <v>0</v>
      </c>
      <c r="I174" s="71">
        <v>0</v>
      </c>
      <c r="J174" s="76">
        <v>1</v>
      </c>
      <c r="K174" s="76">
        <v>76</v>
      </c>
      <c r="L174" s="71">
        <f t="shared" si="17"/>
        <v>7500</v>
      </c>
      <c r="M174" s="76">
        <v>15.4</v>
      </c>
      <c r="N174" s="76">
        <v>102.7</v>
      </c>
      <c r="O174" s="79">
        <f t="shared" si="18"/>
        <v>566.8831168831168</v>
      </c>
      <c r="P174" s="24"/>
      <c r="Q174" s="1"/>
    </row>
    <row r="175" spans="1:17" ht="18">
      <c r="A175" s="3"/>
      <c r="B175" s="5" t="s">
        <v>36</v>
      </c>
      <c r="C175" s="104" t="s">
        <v>33</v>
      </c>
      <c r="D175" s="76">
        <v>279</v>
      </c>
      <c r="E175" s="76">
        <v>245</v>
      </c>
      <c r="F175" s="71">
        <f t="shared" si="15"/>
        <v>-12.186379928315413</v>
      </c>
      <c r="G175" s="76">
        <v>0</v>
      </c>
      <c r="H175" s="76">
        <v>0</v>
      </c>
      <c r="I175" s="71">
        <v>0</v>
      </c>
      <c r="J175" s="76">
        <v>2</v>
      </c>
      <c r="K175" s="76">
        <v>211</v>
      </c>
      <c r="L175" s="71">
        <f t="shared" si="17"/>
        <v>10450</v>
      </c>
      <c r="M175" s="76">
        <v>54.4</v>
      </c>
      <c r="N175" s="76">
        <v>350.1</v>
      </c>
      <c r="O175" s="79">
        <f t="shared" si="18"/>
        <v>543.5661764705883</v>
      </c>
      <c r="P175" s="24"/>
      <c r="Q175" s="1"/>
    </row>
    <row r="176" spans="1:17" ht="18">
      <c r="A176" s="3"/>
      <c r="B176" s="5" t="s">
        <v>37</v>
      </c>
      <c r="C176" s="104" t="s">
        <v>12</v>
      </c>
      <c r="D176" s="71">
        <v>0</v>
      </c>
      <c r="E176" s="71">
        <v>0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9">
        <v>0</v>
      </c>
      <c r="P176" s="24"/>
      <c r="Q176" s="1"/>
    </row>
    <row r="177" spans="1:17" ht="18">
      <c r="A177" s="3"/>
      <c r="B177" s="5" t="s">
        <v>27</v>
      </c>
      <c r="C177" s="104" t="s">
        <v>12</v>
      </c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71">
        <v>8</v>
      </c>
      <c r="K177" s="71">
        <v>0</v>
      </c>
      <c r="L177" s="71">
        <f>(K177-J177)/J177*100</f>
        <v>-100</v>
      </c>
      <c r="M177" s="71">
        <v>0</v>
      </c>
      <c r="N177" s="71">
        <v>0</v>
      </c>
      <c r="O177" s="79">
        <v>0</v>
      </c>
      <c r="P177" s="17"/>
      <c r="Q177" s="1"/>
    </row>
    <row r="178" spans="1:17" ht="18">
      <c r="A178" s="3"/>
      <c r="B178" s="5" t="s">
        <v>38</v>
      </c>
      <c r="C178" s="104" t="s">
        <v>12</v>
      </c>
      <c r="D178" s="76">
        <v>66</v>
      </c>
      <c r="E178" s="76">
        <v>307</v>
      </c>
      <c r="F178" s="71">
        <f t="shared" si="15"/>
        <v>365.1515151515151</v>
      </c>
      <c r="G178" s="76">
        <v>1431.7</v>
      </c>
      <c r="H178" s="76">
        <v>1429.6</v>
      </c>
      <c r="I178" s="71">
        <f>(H178-G178)/G178*100</f>
        <v>-0.14667877348607503</v>
      </c>
      <c r="J178" s="71">
        <v>208</v>
      </c>
      <c r="K178" s="71">
        <v>0</v>
      </c>
      <c r="L178" s="71">
        <f>(K178-J178)/J178*100</f>
        <v>-100</v>
      </c>
      <c r="M178" s="76">
        <v>0.8</v>
      </c>
      <c r="N178" s="76">
        <v>62.7</v>
      </c>
      <c r="O178" s="79">
        <f t="shared" si="18"/>
        <v>7737.5</v>
      </c>
      <c r="P178" s="17"/>
      <c r="Q178" s="1"/>
    </row>
    <row r="179" spans="1:17" ht="18">
      <c r="A179" s="3">
        <v>6</v>
      </c>
      <c r="B179" s="6" t="s">
        <v>58</v>
      </c>
      <c r="C179" s="104" t="s">
        <v>39</v>
      </c>
      <c r="D179" s="78">
        <v>256</v>
      </c>
      <c r="E179" s="78">
        <v>252</v>
      </c>
      <c r="F179" s="71">
        <f t="shared" si="15"/>
        <v>-1.5625</v>
      </c>
      <c r="G179" s="78">
        <v>1</v>
      </c>
      <c r="H179" s="78">
        <v>1</v>
      </c>
      <c r="I179" s="71">
        <f>(H179-G179)/G179*100</f>
        <v>0</v>
      </c>
      <c r="J179" s="78">
        <v>93</v>
      </c>
      <c r="K179" s="78">
        <v>110</v>
      </c>
      <c r="L179" s="71">
        <f t="shared" si="17"/>
        <v>18.27956989247312</v>
      </c>
      <c r="M179" s="78">
        <v>12</v>
      </c>
      <c r="N179" s="78">
        <v>11</v>
      </c>
      <c r="O179" s="79">
        <f t="shared" si="18"/>
        <v>-8.333333333333332</v>
      </c>
      <c r="P179" s="24"/>
      <c r="Q179" s="1"/>
    </row>
    <row r="180" spans="1:17" ht="18">
      <c r="A180" s="3"/>
      <c r="B180" s="7" t="s">
        <v>40</v>
      </c>
      <c r="C180" s="104" t="s">
        <v>39</v>
      </c>
      <c r="D180" s="78">
        <v>18</v>
      </c>
      <c r="E180" s="78">
        <v>20</v>
      </c>
      <c r="F180" s="71">
        <f t="shared" si="15"/>
        <v>11.11111111111111</v>
      </c>
      <c r="G180" s="78">
        <v>1</v>
      </c>
      <c r="H180" s="78">
        <v>1</v>
      </c>
      <c r="I180" s="71">
        <f>(H180-G180)/G180*100</f>
        <v>0</v>
      </c>
      <c r="J180" s="78">
        <v>10</v>
      </c>
      <c r="K180" s="78">
        <v>10</v>
      </c>
      <c r="L180" s="71">
        <f t="shared" si="17"/>
        <v>0</v>
      </c>
      <c r="M180" s="78">
        <v>4</v>
      </c>
      <c r="N180" s="78">
        <v>4</v>
      </c>
      <c r="O180" s="79">
        <f t="shared" si="18"/>
        <v>0</v>
      </c>
      <c r="P180" s="24"/>
      <c r="Q180" s="1"/>
    </row>
    <row r="181" spans="1:17" ht="18">
      <c r="A181" s="3">
        <v>7</v>
      </c>
      <c r="B181" s="6" t="s">
        <v>41</v>
      </c>
      <c r="C181" s="104" t="s">
        <v>33</v>
      </c>
      <c r="D181" s="77">
        <v>13749</v>
      </c>
      <c r="E181" s="77">
        <v>19742.32</v>
      </c>
      <c r="F181" s="75">
        <f t="shared" si="15"/>
        <v>43.590952069241396</v>
      </c>
      <c r="G181" s="77">
        <v>83.2</v>
      </c>
      <c r="H181" s="77">
        <v>46.4</v>
      </c>
      <c r="I181" s="75">
        <f>(H181-G181)/G181*100</f>
        <v>-44.23076923076923</v>
      </c>
      <c r="J181" s="77">
        <v>3590</v>
      </c>
      <c r="K181" s="77">
        <v>4044</v>
      </c>
      <c r="L181" s="75">
        <f t="shared" si="17"/>
        <v>12.646239554317548</v>
      </c>
      <c r="M181" s="77">
        <v>731.8</v>
      </c>
      <c r="N181" s="77">
        <v>677.9</v>
      </c>
      <c r="O181" s="77">
        <f t="shared" si="18"/>
        <v>-7.3654003826181995</v>
      </c>
      <c r="P181" s="24"/>
      <c r="Q181" s="1"/>
    </row>
    <row r="182" spans="1:17" ht="18">
      <c r="A182" s="3">
        <v>8</v>
      </c>
      <c r="B182" s="6" t="s">
        <v>42</v>
      </c>
      <c r="C182" s="112"/>
      <c r="D182" s="79"/>
      <c r="E182" s="79"/>
      <c r="F182" s="71"/>
      <c r="G182" s="79"/>
      <c r="H182" s="79"/>
      <c r="I182" s="71"/>
      <c r="J182" s="79"/>
      <c r="K182" s="79"/>
      <c r="L182" s="71"/>
      <c r="M182" s="79"/>
      <c r="N182" s="79"/>
      <c r="O182" s="71"/>
      <c r="P182" s="24"/>
      <c r="Q182" s="1"/>
    </row>
    <row r="183" spans="1:17" ht="18">
      <c r="A183" s="3"/>
      <c r="B183" s="7" t="s">
        <v>43</v>
      </c>
      <c r="C183" s="104" t="s">
        <v>44</v>
      </c>
      <c r="D183" s="79">
        <v>4340</v>
      </c>
      <c r="E183" s="79">
        <v>5937.73</v>
      </c>
      <c r="F183" s="71">
        <f t="shared" si="15"/>
        <v>36.81405529953916</v>
      </c>
      <c r="G183" s="79">
        <v>7624.12</v>
      </c>
      <c r="H183" s="79">
        <v>3723</v>
      </c>
      <c r="I183" s="71">
        <f>(H183-G183)/G183*100</f>
        <v>-51.16813481424741</v>
      </c>
      <c r="J183" s="79">
        <v>3216</v>
      </c>
      <c r="K183" s="79">
        <v>3723</v>
      </c>
      <c r="L183" s="71">
        <f t="shared" si="17"/>
        <v>15.764925373134329</v>
      </c>
      <c r="M183" s="79">
        <v>5174</v>
      </c>
      <c r="N183" s="79">
        <v>5207</v>
      </c>
      <c r="O183" s="79">
        <f>(N183-M183)/M183*100</f>
        <v>0.6378044066486278</v>
      </c>
      <c r="P183" s="24"/>
      <c r="Q183" s="1"/>
    </row>
    <row r="184" spans="1:17" ht="18">
      <c r="A184" s="3"/>
      <c r="B184" s="7" t="s">
        <v>45</v>
      </c>
      <c r="C184" s="104" t="s">
        <v>44</v>
      </c>
      <c r="D184" s="79">
        <v>12766</v>
      </c>
      <c r="E184" s="79">
        <v>19098.08</v>
      </c>
      <c r="F184" s="71">
        <f t="shared" si="15"/>
        <v>49.601127996240024</v>
      </c>
      <c r="G184" s="79">
        <v>7624.12</v>
      </c>
      <c r="H184" s="79">
        <v>3723</v>
      </c>
      <c r="I184" s="71">
        <f>(H184-G184)/G184*100</f>
        <v>-51.16813481424741</v>
      </c>
      <c r="J184" s="79">
        <v>10109</v>
      </c>
      <c r="K184" s="79">
        <v>11421</v>
      </c>
      <c r="L184" s="71">
        <f t="shared" si="17"/>
        <v>12.97853397962212</v>
      </c>
      <c r="M184" s="79">
        <v>8948</v>
      </c>
      <c r="N184" s="79">
        <v>9005</v>
      </c>
      <c r="O184" s="79">
        <f>(N184-M184)/M184*100</f>
        <v>0.6370138578453285</v>
      </c>
      <c r="P184" s="24"/>
      <c r="Q184" s="1"/>
    </row>
    <row r="185" spans="1:17" ht="18">
      <c r="A185" s="3">
        <v>9</v>
      </c>
      <c r="B185" s="6" t="s">
        <v>46</v>
      </c>
      <c r="C185" s="104" t="s">
        <v>47</v>
      </c>
      <c r="D185" s="79">
        <v>0</v>
      </c>
      <c r="E185" s="79">
        <v>0</v>
      </c>
      <c r="F185" s="71"/>
      <c r="G185" s="79">
        <v>0</v>
      </c>
      <c r="H185" s="79">
        <v>0</v>
      </c>
      <c r="I185" s="71"/>
      <c r="J185" s="79">
        <f>J148/J146*100</f>
        <v>0.22275258552108193</v>
      </c>
      <c r="K185" s="79">
        <v>0</v>
      </c>
      <c r="L185" s="71"/>
      <c r="M185" s="79">
        <f>M148/M146*100</f>
        <v>0.7497155097396077</v>
      </c>
      <c r="N185" s="79">
        <v>0</v>
      </c>
      <c r="O185" s="71"/>
      <c r="P185" s="24"/>
      <c r="Q185" s="1"/>
    </row>
    <row r="186" spans="1:17" ht="18">
      <c r="A186" s="3">
        <v>10</v>
      </c>
      <c r="B186" s="6" t="s">
        <v>48</v>
      </c>
      <c r="C186" s="104" t="s">
        <v>47</v>
      </c>
      <c r="D186" s="79">
        <v>0</v>
      </c>
      <c r="E186" s="79">
        <v>0</v>
      </c>
      <c r="F186" s="71"/>
      <c r="G186" s="79">
        <v>0</v>
      </c>
      <c r="H186" s="79">
        <v>0</v>
      </c>
      <c r="I186" s="71"/>
      <c r="J186" s="79">
        <f>34/3075*100</f>
        <v>1.1056910569105691</v>
      </c>
      <c r="K186" s="79">
        <v>0</v>
      </c>
      <c r="L186" s="71"/>
      <c r="M186" s="79">
        <f>13.6/447.9*100</f>
        <v>3.036392051797276</v>
      </c>
      <c r="N186" s="79">
        <v>0</v>
      </c>
      <c r="O186" s="71"/>
      <c r="P186" s="24"/>
      <c r="Q186" s="1"/>
    </row>
    <row r="187" spans="1:17" ht="18">
      <c r="A187" s="8"/>
      <c r="B187" s="9"/>
      <c r="C187" s="8"/>
      <c r="D187" s="21"/>
      <c r="E187" s="21"/>
      <c r="F187" s="21"/>
      <c r="G187" s="22"/>
      <c r="H187" s="22"/>
      <c r="I187" s="22"/>
      <c r="J187" s="21"/>
      <c r="K187" s="21"/>
      <c r="L187" s="21"/>
      <c r="M187" s="21"/>
      <c r="N187" s="29"/>
      <c r="O187" s="24"/>
      <c r="P187" s="24"/>
      <c r="Q187" s="1"/>
    </row>
    <row r="188" spans="1:17" ht="18">
      <c r="A188" s="8"/>
      <c r="B188" s="9"/>
      <c r="C188" s="8"/>
      <c r="D188" s="21"/>
      <c r="E188" s="21"/>
      <c r="F188" s="21"/>
      <c r="G188" s="22"/>
      <c r="H188" s="22"/>
      <c r="I188" s="22"/>
      <c r="J188" s="21"/>
      <c r="K188" s="21"/>
      <c r="L188" s="21"/>
      <c r="M188" s="21"/>
      <c r="N188" s="29"/>
      <c r="O188" s="25"/>
      <c r="P188" s="25"/>
      <c r="Q188" s="1"/>
    </row>
    <row r="189" spans="1:17" ht="18">
      <c r="A189" s="8"/>
      <c r="B189" s="9"/>
      <c r="C189" s="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1"/>
      <c r="P189" s="25"/>
      <c r="Q189" s="1"/>
    </row>
    <row r="190" spans="1:17" ht="54.75" customHeight="1">
      <c r="A190" s="147" t="s">
        <v>2</v>
      </c>
      <c r="B190" s="123" t="s">
        <v>3</v>
      </c>
      <c r="C190" s="124"/>
      <c r="D190" s="124"/>
      <c r="E190" s="124"/>
      <c r="F190" s="123"/>
      <c r="G190" s="133" t="s">
        <v>80</v>
      </c>
      <c r="H190" s="133"/>
      <c r="I190" s="133"/>
      <c r="J190" s="148"/>
      <c r="K190" s="148"/>
      <c r="L190" s="148"/>
      <c r="M190" s="149"/>
      <c r="N190" s="149"/>
      <c r="O190" s="149"/>
      <c r="P190" s="149"/>
      <c r="Q190" s="1"/>
    </row>
    <row r="191" spans="1:17" ht="17.25">
      <c r="A191" s="147"/>
      <c r="B191" s="123"/>
      <c r="C191" s="124"/>
      <c r="D191" s="124"/>
      <c r="E191" s="124"/>
      <c r="F191" s="123"/>
      <c r="G191" s="131" t="s">
        <v>73</v>
      </c>
      <c r="H191" s="132"/>
      <c r="I191" s="131" t="s">
        <v>77</v>
      </c>
      <c r="J191" s="132"/>
      <c r="K191" s="65" t="s">
        <v>59</v>
      </c>
      <c r="L191" s="65" t="s">
        <v>5</v>
      </c>
      <c r="M191" s="23"/>
      <c r="O191" s="47"/>
      <c r="P191" s="48"/>
      <c r="Q191" s="1"/>
    </row>
    <row r="192" spans="1:17" ht="18">
      <c r="A192" s="3">
        <v>1</v>
      </c>
      <c r="B192" s="122" t="s">
        <v>70</v>
      </c>
      <c r="C192" s="119"/>
      <c r="D192" s="119"/>
      <c r="E192" s="119"/>
      <c r="F192" s="10" t="s">
        <v>6</v>
      </c>
      <c r="G192" s="127">
        <f>D10+G10+J10+M10+D54+G54+J54+M54+D100+G100+J100+M100+D146+G146+J146+M146</f>
        <v>175859</v>
      </c>
      <c r="H192" s="128"/>
      <c r="I192" s="127">
        <f>E10+H10+K10+N10+E54+H54+K54+N54+E100+H100+K100+N100+E146+H146+K146+N146</f>
        <v>245709.40000000002</v>
      </c>
      <c r="J192" s="128"/>
      <c r="K192" s="68">
        <f>I192-G192</f>
        <v>69850.40000000002</v>
      </c>
      <c r="L192" s="69">
        <f>K192/G192*100</f>
        <v>39.71954804701495</v>
      </c>
      <c r="M192" s="50"/>
      <c r="N192" s="50"/>
      <c r="O192" s="49"/>
      <c r="P192" s="50"/>
      <c r="Q192" s="1"/>
    </row>
    <row r="193" spans="1:17" ht="18">
      <c r="A193" s="3"/>
      <c r="B193" s="121" t="s">
        <v>7</v>
      </c>
      <c r="C193" s="119"/>
      <c r="D193" s="119"/>
      <c r="E193" s="119"/>
      <c r="F193" s="10"/>
      <c r="G193" s="129">
        <v>18052.1</v>
      </c>
      <c r="H193" s="130"/>
      <c r="I193" s="129">
        <v>13093.7</v>
      </c>
      <c r="J193" s="130"/>
      <c r="K193" s="70"/>
      <c r="L193" s="71"/>
      <c r="M193" s="51"/>
      <c r="N193" s="51"/>
      <c r="O193" s="24"/>
      <c r="P193" s="51"/>
      <c r="Q193" s="1"/>
    </row>
    <row r="194" spans="1:17" ht="18">
      <c r="A194" s="3"/>
      <c r="B194" s="121" t="s">
        <v>8</v>
      </c>
      <c r="C194" s="119"/>
      <c r="D194" s="119"/>
      <c r="E194" s="119"/>
      <c r="F194" s="10" t="s">
        <v>6</v>
      </c>
      <c r="G194" s="127">
        <f>G193-G195</f>
        <v>15152.3</v>
      </c>
      <c r="H194" s="128"/>
      <c r="I194" s="127">
        <f>I193-I195</f>
        <v>3340.1000000000004</v>
      </c>
      <c r="J194" s="128"/>
      <c r="K194" s="70">
        <f>I194-G194</f>
        <v>-11812.199999999999</v>
      </c>
      <c r="L194" s="71">
        <f>K194/G194*100</f>
        <v>-77.95648185423994</v>
      </c>
      <c r="M194" s="24"/>
      <c r="N194" s="24"/>
      <c r="O194" s="24"/>
      <c r="P194" s="24"/>
      <c r="Q194" s="1"/>
    </row>
    <row r="195" spans="1:17" ht="18">
      <c r="A195" s="3"/>
      <c r="B195" s="121" t="s">
        <v>9</v>
      </c>
      <c r="C195" s="119"/>
      <c r="D195" s="119"/>
      <c r="E195" s="119"/>
      <c r="F195" s="10" t="s">
        <v>6</v>
      </c>
      <c r="G195" s="129">
        <f>D13+G13+M13+D103+J103+M103+D149+G149</f>
        <v>2899.8</v>
      </c>
      <c r="H195" s="130"/>
      <c r="I195" s="129">
        <f>E13+H13+N13+E57+E103+K103+E149+K149+N149+H149</f>
        <v>9753.6</v>
      </c>
      <c r="J195" s="130"/>
      <c r="K195" s="72">
        <f>I195-G195</f>
        <v>6853.8</v>
      </c>
      <c r="L195" s="117">
        <f>K195/G195*100</f>
        <v>236.35423132629833</v>
      </c>
      <c r="M195" s="52"/>
      <c r="N195" s="51"/>
      <c r="O195" s="24"/>
      <c r="P195" s="24"/>
      <c r="Q195" s="1"/>
    </row>
    <row r="196" spans="1:17" ht="18">
      <c r="A196" s="3">
        <v>2</v>
      </c>
      <c r="B196" s="122" t="s">
        <v>10</v>
      </c>
      <c r="C196" s="119"/>
      <c r="D196" s="119"/>
      <c r="E196" s="119"/>
      <c r="F196" s="10"/>
      <c r="G196" s="127"/>
      <c r="H196" s="128"/>
      <c r="I196" s="127"/>
      <c r="J196" s="128"/>
      <c r="K196" s="70"/>
      <c r="L196" s="71"/>
      <c r="M196" s="51"/>
      <c r="N196" s="51"/>
      <c r="O196" s="24"/>
      <c r="P196" s="51"/>
      <c r="Q196" s="1"/>
    </row>
    <row r="197" spans="1:17" ht="18">
      <c r="A197" s="3"/>
      <c r="B197" s="121" t="s">
        <v>11</v>
      </c>
      <c r="C197" s="119"/>
      <c r="D197" s="119"/>
      <c r="E197" s="119"/>
      <c r="F197" s="10" t="s">
        <v>12</v>
      </c>
      <c r="G197" s="127">
        <f>D15+G15+J15+M15+D59+G59+J59+M59+D105+G105+J105+M105+D151+J151+M151+G151</f>
        <v>1324336.4999999998</v>
      </c>
      <c r="H197" s="128"/>
      <c r="I197" s="127">
        <f aca="true" t="shared" si="19" ref="I197:I205">E15+H15+K15+N15+E59+H59+K59+N59+E105+H105+K105+N105+E151+K151+N151+H151</f>
        <v>1302607.8</v>
      </c>
      <c r="J197" s="128"/>
      <c r="K197" s="68">
        <f>I197-G197</f>
        <v>-21728.69999999972</v>
      </c>
      <c r="L197" s="69">
        <f>K197/G197*100</f>
        <v>-1.6407234868177176</v>
      </c>
      <c r="M197" s="51"/>
      <c r="N197" s="51"/>
      <c r="O197" s="24"/>
      <c r="P197" s="51"/>
      <c r="Q197" s="1"/>
    </row>
    <row r="198" spans="1:17" ht="18">
      <c r="A198" s="3"/>
      <c r="B198" s="121" t="s">
        <v>13</v>
      </c>
      <c r="C198" s="119"/>
      <c r="D198" s="119"/>
      <c r="E198" s="119"/>
      <c r="F198" s="10" t="s">
        <v>12</v>
      </c>
      <c r="G198" s="127">
        <f>D16+G16+J16+M16+D60+G60+J60+M60+D106+G106+J106+M106+D152+J152+M152+G152</f>
        <v>3942853.6999999997</v>
      </c>
      <c r="H198" s="128"/>
      <c r="I198" s="127">
        <f t="shared" si="19"/>
        <v>3963536.4</v>
      </c>
      <c r="J198" s="128"/>
      <c r="K198" s="68">
        <f aca="true" t="shared" si="20" ref="K198:K230">I198-G198</f>
        <v>20682.700000000186</v>
      </c>
      <c r="L198" s="69">
        <f aca="true" t="shared" si="21" ref="L198:L230">K198/G198*100</f>
        <v>0.5245616899252484</v>
      </c>
      <c r="M198" s="51"/>
      <c r="N198" s="51"/>
      <c r="O198" s="24"/>
      <c r="P198" s="51"/>
      <c r="Q198" s="1"/>
    </row>
    <row r="199" spans="1:17" ht="18">
      <c r="A199" s="3"/>
      <c r="B199" s="121" t="s">
        <v>14</v>
      </c>
      <c r="C199" s="119"/>
      <c r="D199" s="119"/>
      <c r="E199" s="119"/>
      <c r="F199" s="10" t="s">
        <v>12</v>
      </c>
      <c r="G199" s="127">
        <f>D17+G17+J17+M17+D61+G61+J61+M61+D107+G107+J107+M107+D153+J153+M153+G153</f>
        <v>2618517.2000000007</v>
      </c>
      <c r="H199" s="128"/>
      <c r="I199" s="127">
        <f t="shared" si="19"/>
        <v>2660928.6</v>
      </c>
      <c r="J199" s="128"/>
      <c r="K199" s="68">
        <f t="shared" si="20"/>
        <v>42411.39999999944</v>
      </c>
      <c r="L199" s="69">
        <f t="shared" si="21"/>
        <v>1.619672385577587</v>
      </c>
      <c r="M199" s="51"/>
      <c r="N199" s="51"/>
      <c r="O199" s="24"/>
      <c r="P199" s="51"/>
      <c r="Q199" s="1"/>
    </row>
    <row r="200" spans="1:17" ht="18">
      <c r="A200" s="3">
        <v>3</v>
      </c>
      <c r="B200" s="122" t="s">
        <v>15</v>
      </c>
      <c r="C200" s="119"/>
      <c r="D200" s="119"/>
      <c r="E200" s="119"/>
      <c r="F200" s="10" t="s">
        <v>12</v>
      </c>
      <c r="G200" s="127">
        <f>SUM(G201:H205)</f>
        <v>252214.3</v>
      </c>
      <c r="H200" s="128"/>
      <c r="I200" s="127">
        <f t="shared" si="19"/>
        <v>327975.5999999999</v>
      </c>
      <c r="J200" s="128"/>
      <c r="K200" s="68">
        <f t="shared" si="20"/>
        <v>75761.29999999993</v>
      </c>
      <c r="L200" s="69">
        <f t="shared" si="21"/>
        <v>30.038463322658522</v>
      </c>
      <c r="M200" s="50"/>
      <c r="N200" s="50"/>
      <c r="O200" s="49"/>
      <c r="P200" s="50"/>
      <c r="Q200" s="1"/>
    </row>
    <row r="201" spans="1:17" ht="18">
      <c r="A201" s="3"/>
      <c r="B201" s="121" t="s">
        <v>16</v>
      </c>
      <c r="C201" s="119"/>
      <c r="D201" s="119"/>
      <c r="E201" s="119"/>
      <c r="F201" s="10" t="s">
        <v>12</v>
      </c>
      <c r="G201" s="127">
        <f>D19+G19+J19+M19+D63+G63+J63+M63+D109+G109+J109+M109+D155+J155+M155+G155</f>
        <v>143453.8</v>
      </c>
      <c r="H201" s="128"/>
      <c r="I201" s="127">
        <f t="shared" si="19"/>
        <v>183548.30000000002</v>
      </c>
      <c r="J201" s="128"/>
      <c r="K201" s="68">
        <f t="shared" si="20"/>
        <v>40094.50000000003</v>
      </c>
      <c r="L201" s="69">
        <f t="shared" si="21"/>
        <v>27.949416467183184</v>
      </c>
      <c r="M201" s="51">
        <f>I201/$I$200*100</f>
        <v>55.96401073738414</v>
      </c>
      <c r="N201" s="51"/>
      <c r="O201" s="24"/>
      <c r="P201" s="51"/>
      <c r="Q201" s="1"/>
    </row>
    <row r="202" spans="1:17" ht="18">
      <c r="A202" s="3"/>
      <c r="B202" s="121" t="s">
        <v>17</v>
      </c>
      <c r="C202" s="119"/>
      <c r="D202" s="119"/>
      <c r="E202" s="119"/>
      <c r="F202" s="10" t="s">
        <v>12</v>
      </c>
      <c r="G202" s="127">
        <f>D20+G20+J20+M20+D64+G64+J64+M64+D110+G110+J110+M110+D156+J156+M156+G156</f>
        <v>68969.4</v>
      </c>
      <c r="H202" s="128"/>
      <c r="I202" s="127">
        <f t="shared" si="19"/>
        <v>92889.09999999999</v>
      </c>
      <c r="J202" s="128"/>
      <c r="K202" s="68">
        <f t="shared" si="20"/>
        <v>23919.699999999997</v>
      </c>
      <c r="L202" s="69">
        <f t="shared" si="21"/>
        <v>34.68161242522046</v>
      </c>
      <c r="M202" s="51">
        <f>I202/$I$200*100</f>
        <v>28.321954438074055</v>
      </c>
      <c r="N202" s="51"/>
      <c r="O202" s="24"/>
      <c r="P202" s="51"/>
      <c r="Q202" s="1"/>
    </row>
    <row r="203" spans="1:17" ht="18">
      <c r="A203" s="3"/>
      <c r="B203" s="121" t="s">
        <v>18</v>
      </c>
      <c r="C203" s="119"/>
      <c r="D203" s="119"/>
      <c r="E203" s="119"/>
      <c r="F203" s="10" t="s">
        <v>12</v>
      </c>
      <c r="G203" s="127">
        <f>D21+G21+J21+M21+D65+G65+J65+M65+D111+G111+J111+M111+D157+J157+M157+G157</f>
        <v>14997.1</v>
      </c>
      <c r="H203" s="128"/>
      <c r="I203" s="127">
        <f t="shared" si="19"/>
        <v>19980</v>
      </c>
      <c r="J203" s="128"/>
      <c r="K203" s="68">
        <f t="shared" si="20"/>
        <v>4982.9</v>
      </c>
      <c r="L203" s="69">
        <f t="shared" si="21"/>
        <v>33.225756979682735</v>
      </c>
      <c r="M203" s="51">
        <f>I203/$I$200*100</f>
        <v>6.091916593795394</v>
      </c>
      <c r="N203" s="51"/>
      <c r="O203" s="24"/>
      <c r="P203" s="51"/>
      <c r="Q203" s="1"/>
    </row>
    <row r="204" spans="1:17" ht="18">
      <c r="A204" s="3"/>
      <c r="B204" s="121" t="s">
        <v>19</v>
      </c>
      <c r="C204" s="119"/>
      <c r="D204" s="119"/>
      <c r="E204" s="119"/>
      <c r="F204" s="10" t="s">
        <v>12</v>
      </c>
      <c r="G204" s="127">
        <f>D22+G22+J22+M22+D66+G66+J66+M66+D112+G112+J112+M112+D158+J158+M158+G158</f>
        <v>8240.7</v>
      </c>
      <c r="H204" s="128"/>
      <c r="I204" s="127">
        <f t="shared" si="19"/>
        <v>9386.2</v>
      </c>
      <c r="J204" s="128"/>
      <c r="K204" s="68">
        <f t="shared" si="20"/>
        <v>1145.5</v>
      </c>
      <c r="L204" s="69">
        <f t="shared" si="21"/>
        <v>13.900518159865058</v>
      </c>
      <c r="M204" s="51">
        <f>I204/$I$200*100</f>
        <v>2.861859235869986</v>
      </c>
      <c r="N204" s="51"/>
      <c r="O204" s="24"/>
      <c r="P204" s="51"/>
      <c r="Q204" s="1"/>
    </row>
    <row r="205" spans="1:17" ht="18">
      <c r="A205" s="3"/>
      <c r="B205" s="121" t="s">
        <v>20</v>
      </c>
      <c r="C205" s="119"/>
      <c r="D205" s="119"/>
      <c r="E205" s="119"/>
      <c r="F205" s="10" t="s">
        <v>12</v>
      </c>
      <c r="G205" s="127">
        <f>D23+G23+J23+M23+D67+G67+J67+M67+D113+G113+J113+M113+D159+J159+M159+G159</f>
        <v>16553.300000000003</v>
      </c>
      <c r="H205" s="128"/>
      <c r="I205" s="127">
        <f t="shared" si="19"/>
        <v>22260.8</v>
      </c>
      <c r="J205" s="128"/>
      <c r="K205" s="68">
        <f t="shared" si="20"/>
        <v>5707.499999999996</v>
      </c>
      <c r="L205" s="69">
        <f t="shared" si="21"/>
        <v>34.47952976143726</v>
      </c>
      <c r="M205" s="51">
        <f>I205/$I$200*100</f>
        <v>6.787334179737763</v>
      </c>
      <c r="N205" s="51"/>
      <c r="O205" s="24"/>
      <c r="P205" s="51"/>
      <c r="Q205" s="1"/>
    </row>
    <row r="206" spans="1:17" ht="18">
      <c r="A206" s="3">
        <v>4</v>
      </c>
      <c r="B206" s="122" t="s">
        <v>21</v>
      </c>
      <c r="C206" s="119"/>
      <c r="D206" s="119"/>
      <c r="E206" s="119"/>
      <c r="F206" s="10" t="s">
        <v>12</v>
      </c>
      <c r="G206" s="127">
        <f>SUM(G207:H213)</f>
        <v>99504.1</v>
      </c>
      <c r="H206" s="128"/>
      <c r="I206" s="127">
        <f>I207+SUM(I209:J213)</f>
        <v>128173.90000000002</v>
      </c>
      <c r="J206" s="128"/>
      <c r="K206" s="68">
        <f t="shared" si="20"/>
        <v>28669.800000000017</v>
      </c>
      <c r="L206" s="69">
        <f t="shared" si="21"/>
        <v>28.812682090486742</v>
      </c>
      <c r="M206" s="50"/>
      <c r="N206" s="50"/>
      <c r="O206" s="49"/>
      <c r="P206" s="50"/>
      <c r="Q206" s="1"/>
    </row>
    <row r="207" spans="1:17" ht="25.5" customHeight="1">
      <c r="A207" s="3"/>
      <c r="B207" s="121" t="s">
        <v>22</v>
      </c>
      <c r="C207" s="119"/>
      <c r="D207" s="119"/>
      <c r="E207" s="119"/>
      <c r="F207" s="10" t="s">
        <v>12</v>
      </c>
      <c r="G207" s="127">
        <f>D25+G25+J25+M25+D69+G69+J69+M69+D115+G115+J115+M115+D161+J161+M161+G161</f>
        <v>89865.1</v>
      </c>
      <c r="H207" s="128"/>
      <c r="I207" s="127">
        <f>E25+H25+K25+N25+E69+H69+K69+N69+E115+H115+K115+N115+E161+K161+N161+H161</f>
        <v>116353.10000000002</v>
      </c>
      <c r="J207" s="128"/>
      <c r="K207" s="68">
        <f t="shared" si="20"/>
        <v>26488.000000000015</v>
      </c>
      <c r="L207" s="69">
        <f t="shared" si="21"/>
        <v>29.475291297734064</v>
      </c>
      <c r="M207" s="51"/>
      <c r="N207" s="51"/>
      <c r="O207" s="24"/>
      <c r="P207" s="51"/>
      <c r="Q207" s="1"/>
    </row>
    <row r="208" spans="1:17" ht="18">
      <c r="A208" s="3"/>
      <c r="B208" s="121" t="s">
        <v>23</v>
      </c>
      <c r="C208" s="119"/>
      <c r="D208" s="119"/>
      <c r="E208" s="119"/>
      <c r="F208" s="10" t="s">
        <v>12</v>
      </c>
      <c r="G208" s="127"/>
      <c r="H208" s="128"/>
      <c r="I208" s="127"/>
      <c r="J208" s="128"/>
      <c r="K208" s="68"/>
      <c r="L208" s="69"/>
      <c r="M208" s="51"/>
      <c r="N208" s="51"/>
      <c r="O208" s="24"/>
      <c r="P208" s="51"/>
      <c r="Q208" s="1"/>
    </row>
    <row r="209" spans="1:17" ht="18">
      <c r="A209" s="3"/>
      <c r="B209" s="121" t="s">
        <v>24</v>
      </c>
      <c r="C209" s="119"/>
      <c r="D209" s="119"/>
      <c r="E209" s="119"/>
      <c r="F209" s="10" t="s">
        <v>12</v>
      </c>
      <c r="G209" s="127">
        <f aca="true" t="shared" si="22" ref="G209:G215">D27+G27+J27+M27+D71+G71+J71+M71+D117+G117+J117+M117+D163+J163+M163+G163</f>
        <v>3442.5999999999995</v>
      </c>
      <c r="H209" s="128"/>
      <c r="I209" s="127">
        <f>E27+H27+K27+N27+E71+H71+K71+N71+E117+H117+K117+N117+E163+K163+N163+H163</f>
        <v>3108.7999999999997</v>
      </c>
      <c r="J209" s="128"/>
      <c r="K209" s="68">
        <f t="shared" si="20"/>
        <v>-333.7999999999997</v>
      </c>
      <c r="L209" s="69">
        <f t="shared" si="21"/>
        <v>-9.696159879161092</v>
      </c>
      <c r="M209" s="51"/>
      <c r="N209" s="51"/>
      <c r="O209" s="24"/>
      <c r="P209" s="51"/>
      <c r="Q209" s="1"/>
    </row>
    <row r="210" spans="1:17" ht="18">
      <c r="A210" s="3"/>
      <c r="B210" s="121" t="s">
        <v>25</v>
      </c>
      <c r="C210" s="119"/>
      <c r="D210" s="119"/>
      <c r="E210" s="119"/>
      <c r="F210" s="10" t="s">
        <v>12</v>
      </c>
      <c r="G210" s="127">
        <f t="shared" si="22"/>
        <v>971</v>
      </c>
      <c r="H210" s="128"/>
      <c r="I210" s="127">
        <f>E28+H28+K28+N28+E72+H72+K72+N72+E118+H118+K118+N118+E164+K164+N164+H164</f>
        <v>2238</v>
      </c>
      <c r="J210" s="128"/>
      <c r="K210" s="68">
        <f t="shared" si="20"/>
        <v>1267</v>
      </c>
      <c r="L210" s="69">
        <f t="shared" si="21"/>
        <v>130.48403707518023</v>
      </c>
      <c r="M210" s="51"/>
      <c r="N210" s="51"/>
      <c r="O210" s="24"/>
      <c r="P210" s="51"/>
      <c r="Q210" s="1"/>
    </row>
    <row r="211" spans="1:17" ht="18">
      <c r="A211" s="3"/>
      <c r="B211" s="121" t="s">
        <v>26</v>
      </c>
      <c r="C211" s="119"/>
      <c r="D211" s="119"/>
      <c r="E211" s="119"/>
      <c r="F211" s="10" t="s">
        <v>12</v>
      </c>
      <c r="G211" s="127">
        <f t="shared" si="22"/>
        <v>0</v>
      </c>
      <c r="H211" s="128"/>
      <c r="I211" s="127">
        <f>E29+H29+K29+N29+E73+H73+K73+N73+E119+H119+K119+N119+E165+K165+N165+H165</f>
        <v>0</v>
      </c>
      <c r="J211" s="128"/>
      <c r="K211" s="68">
        <f t="shared" si="20"/>
        <v>0</v>
      </c>
      <c r="L211" s="69">
        <v>0</v>
      </c>
      <c r="M211" s="51"/>
      <c r="N211" s="51"/>
      <c r="O211" s="24"/>
      <c r="P211" s="51"/>
      <c r="Q211" s="1"/>
    </row>
    <row r="212" spans="1:17" ht="18">
      <c r="A212" s="3"/>
      <c r="B212" s="121" t="s">
        <v>27</v>
      </c>
      <c r="C212" s="119"/>
      <c r="D212" s="119"/>
      <c r="E212" s="119"/>
      <c r="F212" s="10" t="s">
        <v>12</v>
      </c>
      <c r="G212" s="127">
        <f t="shared" si="22"/>
        <v>0</v>
      </c>
      <c r="H212" s="128"/>
      <c r="I212" s="127">
        <f>E30+H30+K30+N30+E74+H74+K74+N74+E120+H120+K120+N120+E166+K166+N166+H166</f>
        <v>0</v>
      </c>
      <c r="J212" s="128"/>
      <c r="K212" s="68">
        <f t="shared" si="20"/>
        <v>0</v>
      </c>
      <c r="L212" s="69">
        <v>0</v>
      </c>
      <c r="M212" s="51"/>
      <c r="N212" s="51"/>
      <c r="O212" s="24"/>
      <c r="P212" s="51"/>
      <c r="Q212" s="1"/>
    </row>
    <row r="213" spans="1:17" ht="18">
      <c r="A213" s="3"/>
      <c r="B213" s="121" t="s">
        <v>28</v>
      </c>
      <c r="C213" s="119"/>
      <c r="D213" s="119"/>
      <c r="E213" s="119"/>
      <c r="F213" s="10" t="s">
        <v>12</v>
      </c>
      <c r="G213" s="127">
        <f t="shared" si="22"/>
        <v>5225.4</v>
      </c>
      <c r="H213" s="128"/>
      <c r="I213" s="127">
        <f>E31+H31+K31+N31+E75+H75+K75+N75+E121+H121+K121+N121+E167+K167+N167+H167</f>
        <v>6474</v>
      </c>
      <c r="J213" s="128"/>
      <c r="K213" s="68">
        <f t="shared" si="20"/>
        <v>1248.6000000000004</v>
      </c>
      <c r="L213" s="69">
        <f t="shared" si="21"/>
        <v>23.89482144907568</v>
      </c>
      <c r="M213" s="51"/>
      <c r="N213" s="51"/>
      <c r="O213" s="24"/>
      <c r="P213" s="51"/>
      <c r="Q213" s="1"/>
    </row>
    <row r="214" spans="1:17" ht="18">
      <c r="A214" s="3">
        <v>5</v>
      </c>
      <c r="B214" s="122" t="s">
        <v>29</v>
      </c>
      <c r="C214" s="119"/>
      <c r="D214" s="119"/>
      <c r="E214" s="119"/>
      <c r="F214" s="10" t="s">
        <v>12</v>
      </c>
      <c r="G214" s="127">
        <f t="shared" si="22"/>
        <v>108474.29999999999</v>
      </c>
      <c r="H214" s="128"/>
      <c r="I214" s="127">
        <f>I215+SUM(I217:J224)</f>
        <v>129390.8</v>
      </c>
      <c r="J214" s="128"/>
      <c r="K214" s="68">
        <f t="shared" si="20"/>
        <v>20916.500000000015</v>
      </c>
      <c r="L214" s="69">
        <f t="shared" si="21"/>
        <v>19.282447547483613</v>
      </c>
      <c r="M214" s="50"/>
      <c r="N214" s="50"/>
      <c r="O214" s="49"/>
      <c r="P214" s="50"/>
      <c r="Q214" s="1"/>
    </row>
    <row r="215" spans="1:17" ht="18">
      <c r="A215" s="3"/>
      <c r="B215" s="121" t="s">
        <v>30</v>
      </c>
      <c r="C215" s="119"/>
      <c r="D215" s="119"/>
      <c r="E215" s="119"/>
      <c r="F215" s="10" t="s">
        <v>12</v>
      </c>
      <c r="G215" s="127">
        <f t="shared" si="22"/>
        <v>63848.799999999996</v>
      </c>
      <c r="H215" s="128"/>
      <c r="I215" s="127">
        <f>E33+H33+K33+N33+E77+H77+K77+N77+E123+H123+K123+N123+E169+K169+N169+H169</f>
        <v>79520.1</v>
      </c>
      <c r="J215" s="128"/>
      <c r="K215" s="68">
        <f t="shared" si="20"/>
        <v>15671.30000000001</v>
      </c>
      <c r="L215" s="69">
        <f t="shared" si="21"/>
        <v>24.544392376990658</v>
      </c>
      <c r="M215" s="51"/>
      <c r="N215" s="51"/>
      <c r="O215" s="24"/>
      <c r="P215" s="51"/>
      <c r="Q215" s="1"/>
    </row>
    <row r="216" spans="1:17" ht="18">
      <c r="A216" s="3"/>
      <c r="B216" s="121" t="s">
        <v>31</v>
      </c>
      <c r="C216" s="119"/>
      <c r="D216" s="119"/>
      <c r="E216" s="119"/>
      <c r="F216" s="10"/>
      <c r="G216" s="127"/>
      <c r="H216" s="128"/>
      <c r="I216" s="127"/>
      <c r="J216" s="128"/>
      <c r="K216" s="68"/>
      <c r="L216" s="69"/>
      <c r="M216" s="51"/>
      <c r="N216" s="51"/>
      <c r="O216" s="24"/>
      <c r="P216" s="51"/>
      <c r="Q216" s="1"/>
    </row>
    <row r="217" spans="1:17" ht="18">
      <c r="A217" s="3"/>
      <c r="B217" s="121" t="s">
        <v>32</v>
      </c>
      <c r="C217" s="119"/>
      <c r="D217" s="119"/>
      <c r="E217" s="119"/>
      <c r="F217" s="10" t="s">
        <v>12</v>
      </c>
      <c r="G217" s="127">
        <f>D35+G35+J35+M35+D79+G79+J79+M79+D125+G125+J125+M125+D171+J171+M171+G171</f>
        <v>117.5</v>
      </c>
      <c r="H217" s="128"/>
      <c r="I217" s="127">
        <f>E35+H35+K35+N35+E79+H79+K79+N79+E125+H125+K125+N125+E171+K171+N171+H171</f>
        <v>117.5</v>
      </c>
      <c r="J217" s="128"/>
      <c r="K217" s="68">
        <f t="shared" si="20"/>
        <v>0</v>
      </c>
      <c r="L217" s="69">
        <f t="shared" si="21"/>
        <v>0</v>
      </c>
      <c r="M217" s="51"/>
      <c r="N217" s="51"/>
      <c r="O217" s="24"/>
      <c r="P217" s="51"/>
      <c r="Q217" s="1"/>
    </row>
    <row r="218" spans="1:17" ht="18">
      <c r="A218" s="3"/>
      <c r="B218" s="121" t="s">
        <v>24</v>
      </c>
      <c r="C218" s="119"/>
      <c r="D218" s="119"/>
      <c r="E218" s="119"/>
      <c r="F218" s="10" t="s">
        <v>33</v>
      </c>
      <c r="G218" s="127">
        <f aca="true" t="shared" si="23" ref="G218:G224">D36+G36+J36+M36+D80+G80+J80+M80+D126+G126+J126+M126+D172+J172+M172+G172</f>
        <v>12412.4</v>
      </c>
      <c r="H218" s="128"/>
      <c r="I218" s="127">
        <f aca="true" t="shared" si="24" ref="I218:I223">E36+H36+K36+N36+E80+H80+K80+N80+E126+H126+K126+N126+E172+K172+N172+H172</f>
        <v>13149.800000000001</v>
      </c>
      <c r="J218" s="128"/>
      <c r="K218" s="68">
        <f t="shared" si="20"/>
        <v>737.4000000000015</v>
      </c>
      <c r="L218" s="69">
        <f t="shared" si="21"/>
        <v>5.94083336018821</v>
      </c>
      <c r="M218" s="51"/>
      <c r="N218" s="51"/>
      <c r="O218" s="24"/>
      <c r="P218" s="51"/>
      <c r="Q218" s="1"/>
    </row>
    <row r="219" spans="1:17" ht="18">
      <c r="A219" s="3"/>
      <c r="B219" s="121" t="s">
        <v>34</v>
      </c>
      <c r="C219" s="119"/>
      <c r="D219" s="119"/>
      <c r="E219" s="119"/>
      <c r="F219" s="10" t="s">
        <v>33</v>
      </c>
      <c r="G219" s="127">
        <f t="shared" si="23"/>
        <v>0</v>
      </c>
      <c r="H219" s="128"/>
      <c r="I219" s="127">
        <f t="shared" si="24"/>
        <v>0</v>
      </c>
      <c r="J219" s="128"/>
      <c r="K219" s="68">
        <f t="shared" si="20"/>
        <v>0</v>
      </c>
      <c r="L219" s="69">
        <v>0</v>
      </c>
      <c r="M219" s="51"/>
      <c r="N219" s="51"/>
      <c r="O219" s="24"/>
      <c r="P219" s="51"/>
      <c r="Q219" s="1"/>
    </row>
    <row r="220" spans="1:17" ht="18">
      <c r="A220" s="3"/>
      <c r="B220" s="121" t="s">
        <v>35</v>
      </c>
      <c r="C220" s="119"/>
      <c r="D220" s="119"/>
      <c r="E220" s="119"/>
      <c r="F220" s="10" t="s">
        <v>33</v>
      </c>
      <c r="G220" s="127">
        <f t="shared" si="23"/>
        <v>3090.9</v>
      </c>
      <c r="H220" s="128"/>
      <c r="I220" s="127">
        <f t="shared" si="24"/>
        <v>4137.7</v>
      </c>
      <c r="J220" s="128"/>
      <c r="K220" s="68">
        <f t="shared" si="20"/>
        <v>1046.7999999999997</v>
      </c>
      <c r="L220" s="69">
        <f t="shared" si="21"/>
        <v>33.86715843281891</v>
      </c>
      <c r="M220" s="51"/>
      <c r="N220" s="51"/>
      <c r="O220" s="24"/>
      <c r="P220" s="51"/>
      <c r="Q220" s="1"/>
    </row>
    <row r="221" spans="1:17" ht="18">
      <c r="A221" s="3"/>
      <c r="B221" s="121" t="s">
        <v>36</v>
      </c>
      <c r="C221" s="119"/>
      <c r="D221" s="119"/>
      <c r="E221" s="119"/>
      <c r="F221" s="10" t="s">
        <v>33</v>
      </c>
      <c r="G221" s="127">
        <f t="shared" si="23"/>
        <v>2060.7</v>
      </c>
      <c r="H221" s="128"/>
      <c r="I221" s="127">
        <f t="shared" si="24"/>
        <v>4680.6</v>
      </c>
      <c r="J221" s="128"/>
      <c r="K221" s="68">
        <f t="shared" si="20"/>
        <v>2619.9000000000005</v>
      </c>
      <c r="L221" s="69">
        <f t="shared" si="21"/>
        <v>127.13640995778137</v>
      </c>
      <c r="M221" s="51"/>
      <c r="N221" s="51"/>
      <c r="O221" s="24"/>
      <c r="P221" s="51"/>
      <c r="Q221" s="1"/>
    </row>
    <row r="222" spans="1:17" ht="18">
      <c r="A222" s="3"/>
      <c r="B222" s="121" t="s">
        <v>37</v>
      </c>
      <c r="C222" s="119"/>
      <c r="D222" s="119"/>
      <c r="E222" s="119"/>
      <c r="F222" s="10" t="s">
        <v>12</v>
      </c>
      <c r="G222" s="127">
        <f t="shared" si="23"/>
        <v>0</v>
      </c>
      <c r="H222" s="128"/>
      <c r="I222" s="127">
        <f t="shared" si="24"/>
        <v>0</v>
      </c>
      <c r="J222" s="128"/>
      <c r="K222" s="68">
        <f t="shared" si="20"/>
        <v>0</v>
      </c>
      <c r="L222" s="69">
        <v>0</v>
      </c>
      <c r="M222" s="51"/>
      <c r="N222" s="51"/>
      <c r="O222" s="24"/>
      <c r="P222" s="51"/>
      <c r="Q222" s="1"/>
    </row>
    <row r="223" spans="1:17" ht="18">
      <c r="A223" s="3"/>
      <c r="B223" s="121" t="s">
        <v>27</v>
      </c>
      <c r="C223" s="119"/>
      <c r="D223" s="119"/>
      <c r="E223" s="119"/>
      <c r="F223" s="10" t="s">
        <v>12</v>
      </c>
      <c r="G223" s="127">
        <f t="shared" si="23"/>
        <v>8</v>
      </c>
      <c r="H223" s="128"/>
      <c r="I223" s="127">
        <f t="shared" si="24"/>
        <v>0</v>
      </c>
      <c r="J223" s="128"/>
      <c r="K223" s="68">
        <f t="shared" si="20"/>
        <v>-8</v>
      </c>
      <c r="L223" s="69">
        <f t="shared" si="21"/>
        <v>-100</v>
      </c>
      <c r="M223" s="51"/>
      <c r="N223" s="51"/>
      <c r="O223" s="24"/>
      <c r="P223" s="51"/>
      <c r="Q223" s="1"/>
    </row>
    <row r="224" spans="1:17" ht="18">
      <c r="A224" s="3"/>
      <c r="B224" s="121" t="s">
        <v>38</v>
      </c>
      <c r="C224" s="119"/>
      <c r="D224" s="119"/>
      <c r="E224" s="119"/>
      <c r="F224" s="10" t="s">
        <v>12</v>
      </c>
      <c r="G224" s="127">
        <f t="shared" si="23"/>
        <v>26936</v>
      </c>
      <c r="H224" s="128"/>
      <c r="I224" s="127">
        <f>E42+H42+K42+N42+E86+H86+K86+N86+E132+H132+K132+N132+E178+K178+N178+H178</f>
        <v>27785.1</v>
      </c>
      <c r="J224" s="128"/>
      <c r="K224" s="68">
        <f t="shared" si="20"/>
        <v>849.0999999999985</v>
      </c>
      <c r="L224" s="69">
        <f t="shared" si="21"/>
        <v>3.1522869022868965</v>
      </c>
      <c r="M224" s="51"/>
      <c r="N224" s="51"/>
      <c r="O224" s="24"/>
      <c r="P224" s="51"/>
      <c r="Q224" s="1"/>
    </row>
    <row r="225" spans="1:17" ht="18">
      <c r="A225" s="3">
        <v>6</v>
      </c>
      <c r="B225" s="118" t="s">
        <v>58</v>
      </c>
      <c r="C225" s="119"/>
      <c r="D225" s="119"/>
      <c r="E225" s="119"/>
      <c r="F225" s="10" t="s">
        <v>39</v>
      </c>
      <c r="G225" s="125">
        <f>D43+G43+J43+M43+D87+G87+J87+M87+D133+G133+J133+M133+D179+J179+M179+G179</f>
        <v>1214</v>
      </c>
      <c r="H225" s="126"/>
      <c r="I225" s="125">
        <f>E43+H43+K43+N43+E87+H87+K87+N87+E133+H133+K133+N133+E179+K179+N179+H179</f>
        <v>1246</v>
      </c>
      <c r="J225" s="126"/>
      <c r="K225" s="68">
        <f t="shared" si="20"/>
        <v>32</v>
      </c>
      <c r="L225" s="69">
        <f t="shared" si="21"/>
        <v>2.6359143327841847</v>
      </c>
      <c r="M225" s="50"/>
      <c r="N225" s="50"/>
      <c r="O225" s="49"/>
      <c r="P225" s="50"/>
      <c r="Q225" s="1"/>
    </row>
    <row r="226" spans="1:17" ht="18">
      <c r="A226" s="3"/>
      <c r="B226" s="120" t="s">
        <v>40</v>
      </c>
      <c r="C226" s="119"/>
      <c r="D226" s="119"/>
      <c r="E226" s="119"/>
      <c r="F226" s="10" t="s">
        <v>39</v>
      </c>
      <c r="G226" s="125">
        <f>D44+G44+J44+M44+D88+G88+J88+M88+D134+G134+J134+M134+D180+J180+M180+G180</f>
        <v>166</v>
      </c>
      <c r="H226" s="126"/>
      <c r="I226" s="125">
        <f>E44+H44+K44+N44+E88+H88+K88+N88+E134+H134+K134+N134+E180+K180+N180+H180</f>
        <v>181</v>
      </c>
      <c r="J226" s="126"/>
      <c r="K226" s="68">
        <f t="shared" si="20"/>
        <v>15</v>
      </c>
      <c r="L226" s="69">
        <f t="shared" si="21"/>
        <v>9.036144578313253</v>
      </c>
      <c r="M226" s="51"/>
      <c r="N226" s="51"/>
      <c r="O226" s="24"/>
      <c r="P226" s="51"/>
      <c r="Q226" s="1"/>
    </row>
    <row r="227" spans="1:17" ht="18">
      <c r="A227" s="3">
        <v>7</v>
      </c>
      <c r="B227" s="118" t="s">
        <v>41</v>
      </c>
      <c r="C227" s="119"/>
      <c r="D227" s="119"/>
      <c r="E227" s="119"/>
      <c r="F227" s="10" t="s">
        <v>33</v>
      </c>
      <c r="G227" s="127">
        <f>D45+G45+J45+M45+D89+G89+J89+M89+D135+G135+J135+M135+D181+J181+M181+G181</f>
        <v>67986.82</v>
      </c>
      <c r="H227" s="128"/>
      <c r="I227" s="127">
        <f>E45+H45+K45+N45+E89+H89+K89+N89+E135+H135+K135+N135+E181+K181+N181+H181</f>
        <v>91233.91999999998</v>
      </c>
      <c r="J227" s="128"/>
      <c r="K227" s="68">
        <f t="shared" si="20"/>
        <v>23247.099999999977</v>
      </c>
      <c r="L227" s="69">
        <f t="shared" si="21"/>
        <v>34.193539277171624</v>
      </c>
      <c r="M227" s="50"/>
      <c r="N227" s="50"/>
      <c r="O227" s="49"/>
      <c r="P227" s="50"/>
      <c r="Q227" s="1"/>
    </row>
    <row r="228" spans="1:17" ht="18">
      <c r="A228" s="3">
        <v>8</v>
      </c>
      <c r="B228" s="118" t="s">
        <v>42</v>
      </c>
      <c r="C228" s="119"/>
      <c r="D228" s="119"/>
      <c r="E228" s="119"/>
      <c r="F228" s="11"/>
      <c r="G228" s="127"/>
      <c r="H228" s="128"/>
      <c r="I228" s="127"/>
      <c r="J228" s="128"/>
      <c r="K228" s="68"/>
      <c r="L228" s="69"/>
      <c r="M228" s="51"/>
      <c r="N228" s="51"/>
      <c r="O228" s="24"/>
      <c r="P228" s="51"/>
      <c r="Q228" s="1"/>
    </row>
    <row r="229" spans="1:17" ht="18">
      <c r="A229" s="3"/>
      <c r="B229" s="120" t="s">
        <v>43</v>
      </c>
      <c r="C229" s="119"/>
      <c r="D229" s="119"/>
      <c r="E229" s="119"/>
      <c r="F229" s="10" t="s">
        <v>44</v>
      </c>
      <c r="G229" s="127">
        <f>(D47+G47+J47+M47+D91+G91+J91+M91+D137+G137+J137+M137+D183+J183+M183+G183)/16</f>
        <v>6048.401875</v>
      </c>
      <c r="H229" s="128"/>
      <c r="I229" s="127">
        <f>(E47+H47+K47+N47+E91+H91+K91+N91+E137+H137+K137+N137+E183+K183+N183+H183)/16</f>
        <v>5486.496875</v>
      </c>
      <c r="J229" s="128"/>
      <c r="K229" s="68">
        <f t="shared" si="20"/>
        <v>-561.9049999999997</v>
      </c>
      <c r="L229" s="69">
        <f t="shared" si="21"/>
        <v>-9.290139967758009</v>
      </c>
      <c r="M229" s="51"/>
      <c r="N229" s="51"/>
      <c r="O229" s="24"/>
      <c r="P229" s="51"/>
      <c r="Q229" s="1"/>
    </row>
    <row r="230" spans="1:17" ht="18">
      <c r="A230" s="3"/>
      <c r="B230" s="120" t="s">
        <v>45</v>
      </c>
      <c r="C230" s="119"/>
      <c r="D230" s="119"/>
      <c r="E230" s="119"/>
      <c r="F230" s="10" t="s">
        <v>44</v>
      </c>
      <c r="G230" s="127">
        <f>(D48+G48+J48+M48+D92+G92+J92+M92+D138+G138+J138+M138+D184+J184+M184+G184)/16</f>
        <v>11831.277499999998</v>
      </c>
      <c r="H230" s="128"/>
      <c r="I230" s="127">
        <f>(E48+H48+K48+N48+E92+H92+K92+N92+E138+H138+K138+N138+E184+K184+N184+H184)/16</f>
        <v>13265.780625</v>
      </c>
      <c r="J230" s="128"/>
      <c r="K230" s="68">
        <f t="shared" si="20"/>
        <v>1434.503125000001</v>
      </c>
      <c r="L230" s="69">
        <f t="shared" si="21"/>
        <v>12.124668067332554</v>
      </c>
      <c r="M230" s="51"/>
      <c r="N230" s="51"/>
      <c r="O230" s="24"/>
      <c r="P230" s="51"/>
      <c r="Q230" s="1"/>
    </row>
    <row r="231" spans="1:17" ht="18">
      <c r="A231" s="3">
        <v>9</v>
      </c>
      <c r="B231" s="9"/>
      <c r="C231" s="8"/>
      <c r="D231" s="21"/>
      <c r="E231" s="21"/>
      <c r="F231" s="21"/>
      <c r="G231" s="21"/>
      <c r="H231" s="21"/>
      <c r="I231" s="21"/>
      <c r="J231" s="21"/>
      <c r="K231" s="21"/>
      <c r="L231" s="21"/>
      <c r="M231" s="17"/>
      <c r="N231" s="17"/>
      <c r="O231" s="24"/>
      <c r="P231" s="51"/>
      <c r="Q231" s="1"/>
    </row>
    <row r="232" spans="1:17" ht="18">
      <c r="A232" s="3">
        <v>10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7"/>
      <c r="N232" s="17"/>
      <c r="O232" s="24"/>
      <c r="P232" s="51"/>
      <c r="Q232" s="1"/>
    </row>
    <row r="233" spans="1:17" ht="18">
      <c r="A233" s="8"/>
      <c r="B233" s="1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1"/>
      <c r="N233" s="21"/>
      <c r="O233" s="1"/>
      <c r="P233" s="25"/>
      <c r="Q233" s="1"/>
    </row>
    <row r="234" spans="1:17" ht="18">
      <c r="A234" s="32" t="s">
        <v>66</v>
      </c>
      <c r="B234" s="15"/>
      <c r="C234" s="16"/>
      <c r="D234" s="17"/>
      <c r="E234" s="17"/>
      <c r="F234" s="18"/>
      <c r="G234" s="19"/>
      <c r="M234" s="2"/>
      <c r="N234" s="2"/>
      <c r="O234" s="1"/>
      <c r="P234" s="25"/>
      <c r="Q234" s="1"/>
    </row>
    <row r="235" spans="1:17" ht="28.5">
      <c r="A235" s="2"/>
      <c r="B235" s="53" t="s">
        <v>64</v>
      </c>
      <c r="C235" s="39"/>
      <c r="D235" s="40"/>
      <c r="E235" s="40"/>
      <c r="F235" s="41"/>
      <c r="G235" s="42"/>
      <c r="H235" s="43"/>
      <c r="I235" s="43"/>
      <c r="J235" s="43"/>
      <c r="K235" s="45"/>
      <c r="L235" s="45"/>
      <c r="M235" s="2"/>
      <c r="N235" s="2"/>
      <c r="O235" s="1"/>
      <c r="P235" s="25"/>
      <c r="Q235" s="1"/>
    </row>
    <row r="236" spans="1:7" ht="18">
      <c r="A236" s="14"/>
      <c r="B236" s="20"/>
      <c r="C236" s="20"/>
      <c r="D236" s="20"/>
      <c r="E236" s="20"/>
      <c r="F236" s="20"/>
      <c r="G236" s="20"/>
    </row>
    <row r="237" spans="1:16" s="45" customFormat="1" ht="28.5">
      <c r="A237" s="38"/>
      <c r="B237"/>
      <c r="C237"/>
      <c r="D237"/>
      <c r="E237"/>
      <c r="F237"/>
      <c r="G237"/>
      <c r="H237"/>
      <c r="I237"/>
      <c r="J237"/>
      <c r="K237"/>
      <c r="L237"/>
      <c r="M237" s="44"/>
      <c r="N237" s="146" t="s">
        <v>63</v>
      </c>
      <c r="O237" s="146"/>
      <c r="P237" s="46"/>
    </row>
    <row r="238" ht="14.25">
      <c r="A238" s="20"/>
    </row>
  </sheetData>
  <sheetProtection formatCells="0" formatColumns="0" formatRows="0" insertColumns="0" insertRows="0" insertHyperlinks="0" deleteColumns="0" deleteRows="0" sort="0" autoFilter="0" pivotTables="0"/>
  <mergeCells count="154">
    <mergeCell ref="A144:A145"/>
    <mergeCell ref="N237:O237"/>
    <mergeCell ref="A190:A191"/>
    <mergeCell ref="F190:F191"/>
    <mergeCell ref="B144:B145"/>
    <mergeCell ref="C144:C145"/>
    <mergeCell ref="D144:F144"/>
    <mergeCell ref="G190:L190"/>
    <mergeCell ref="M190:P190"/>
    <mergeCell ref="G191:H191"/>
    <mergeCell ref="C52:C53"/>
    <mergeCell ref="D52:F52"/>
    <mergeCell ref="G52:I52"/>
    <mergeCell ref="A98:A99"/>
    <mergeCell ref="B98:B99"/>
    <mergeCell ref="C98:C99"/>
    <mergeCell ref="D98:F98"/>
    <mergeCell ref="A8:A9"/>
    <mergeCell ref="B8:B9"/>
    <mergeCell ref="D8:F8"/>
    <mergeCell ref="G8:I8"/>
    <mergeCell ref="B6:L6"/>
    <mergeCell ref="J52:L52"/>
    <mergeCell ref="J8:L8"/>
    <mergeCell ref="C8:C9"/>
    <mergeCell ref="A52:A53"/>
    <mergeCell ref="B52:B53"/>
    <mergeCell ref="M52:O52"/>
    <mergeCell ref="M8:O8"/>
    <mergeCell ref="M98:O98"/>
    <mergeCell ref="M144:O144"/>
    <mergeCell ref="G98:I98"/>
    <mergeCell ref="J98:L98"/>
    <mergeCell ref="J144:L144"/>
    <mergeCell ref="G144:I144"/>
    <mergeCell ref="I191:J191"/>
    <mergeCell ref="G192:H192"/>
    <mergeCell ref="I192:J192"/>
    <mergeCell ref="G193:H193"/>
    <mergeCell ref="I193:J193"/>
    <mergeCell ref="I194:J194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29:H229"/>
    <mergeCell ref="G230:H230"/>
    <mergeCell ref="I195:J195"/>
    <mergeCell ref="I196:J196"/>
    <mergeCell ref="I197:J197"/>
    <mergeCell ref="I198:J198"/>
    <mergeCell ref="I199:J199"/>
    <mergeCell ref="I200:J200"/>
    <mergeCell ref="G223:H223"/>
    <mergeCell ref="G224:H224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B190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7:E227"/>
    <mergeCell ref="B228:E228"/>
    <mergeCell ref="B229:E229"/>
    <mergeCell ref="B230:E230"/>
    <mergeCell ref="B221:E221"/>
    <mergeCell ref="B222:E222"/>
    <mergeCell ref="B223:E223"/>
    <mergeCell ref="B224:E224"/>
    <mergeCell ref="B225:E225"/>
    <mergeCell ref="B226:E226"/>
  </mergeCells>
  <printOptions horizontalCentered="1" verticalCentered="1"/>
  <pageMargins left="0.61" right="0.2" top="0.3937007874015748" bottom="0.3937007874015748" header="0.31496062992125984" footer="0.31496062992125984"/>
  <pageSetup horizontalDpi="600" verticalDpi="600" orientation="landscape" paperSize="9" scale="52" r:id="rId3"/>
  <rowBreaks count="5" manualBreakCount="5">
    <brk id="50" max="14" man="1"/>
    <brk id="96" max="14" man="1"/>
    <brk id="142" max="14" man="1"/>
    <brk id="188" max="14" man="1"/>
    <brk id="23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8" sqref="B8:I50"/>
    </sheetView>
  </sheetViews>
  <sheetFormatPr defaultColWidth="9.140625" defaultRowHeight="15"/>
  <cols>
    <col min="1" max="1" width="4.00390625" style="0" customWidth="1"/>
    <col min="2" max="2" width="43.28125" style="0" customWidth="1"/>
    <col min="3" max="3" width="9.28125" style="0" customWidth="1"/>
    <col min="4" max="4" width="10.7109375" style="0" customWidth="1"/>
    <col min="5" max="5" width="8.8515625" style="0" customWidth="1"/>
    <col min="6" max="6" width="11.00390625" style="0" customWidth="1"/>
    <col min="7" max="7" width="10.140625" style="0" customWidth="1"/>
  </cols>
  <sheetData>
    <row r="1" spans="1:8" ht="15">
      <c r="A1" s="151"/>
      <c r="B1" s="151"/>
      <c r="C1" s="151"/>
      <c r="D1" s="151"/>
      <c r="E1" s="151"/>
      <c r="F1" s="151"/>
      <c r="G1" s="25"/>
      <c r="H1" s="1"/>
    </row>
    <row r="2" spans="1:8" ht="14.25" customHeight="1">
      <c r="A2" s="151"/>
      <c r="B2" s="151"/>
      <c r="C2" s="151"/>
      <c r="D2" s="151"/>
      <c r="E2" s="151"/>
      <c r="F2" s="151"/>
      <c r="G2" s="25"/>
      <c r="H2" s="1"/>
    </row>
    <row r="3" spans="1:8" ht="17.25" customHeight="1">
      <c r="A3" s="153"/>
      <c r="B3" s="154"/>
      <c r="C3" s="154"/>
      <c r="D3" s="150"/>
      <c r="E3" s="150"/>
      <c r="F3" s="152"/>
      <c r="G3" s="152"/>
      <c r="H3" s="1"/>
    </row>
    <row r="4" spans="1:8" ht="15">
      <c r="A4" s="153"/>
      <c r="B4" s="154"/>
      <c r="C4" s="154"/>
      <c r="D4" s="150"/>
      <c r="E4" s="150"/>
      <c r="F4" s="54"/>
      <c r="G4" s="55"/>
      <c r="H4" s="1"/>
    </row>
    <row r="5" spans="1:8" ht="15">
      <c r="A5" s="56"/>
      <c r="B5" s="57"/>
      <c r="C5" s="58"/>
      <c r="D5" s="59"/>
      <c r="E5" s="59"/>
      <c r="F5" s="26"/>
      <c r="G5" s="60"/>
      <c r="H5" s="1"/>
    </row>
    <row r="6" spans="1:8" ht="15">
      <c r="A6" s="56"/>
      <c r="B6" s="61"/>
      <c r="C6" s="58"/>
      <c r="D6" s="59"/>
      <c r="E6" s="59"/>
      <c r="F6" s="26"/>
      <c r="G6" s="62"/>
      <c r="H6" s="1"/>
    </row>
    <row r="7" spans="1:8" ht="15">
      <c r="A7" s="56"/>
      <c r="B7" s="61"/>
      <c r="C7" s="58"/>
      <c r="D7" s="26"/>
      <c r="E7" s="26"/>
      <c r="F7" s="26"/>
      <c r="G7" s="26"/>
      <c r="H7" s="1"/>
    </row>
    <row r="8" spans="1:9" ht="17.25">
      <c r="A8" s="56"/>
      <c r="B8" s="133" t="s">
        <v>60</v>
      </c>
      <c r="C8" s="133"/>
      <c r="D8" s="133"/>
      <c r="E8" s="167"/>
      <c r="F8" s="167"/>
      <c r="G8" s="167"/>
      <c r="H8" s="167"/>
      <c r="I8" s="167"/>
    </row>
    <row r="9" spans="1:9" ht="17.25">
      <c r="A9" s="56"/>
      <c r="B9" s="168" t="s">
        <v>65</v>
      </c>
      <c r="C9" s="169"/>
      <c r="D9" s="168" t="s">
        <v>73</v>
      </c>
      <c r="E9" s="169"/>
      <c r="F9" s="168" t="s">
        <v>59</v>
      </c>
      <c r="G9" s="168"/>
      <c r="H9" s="168" t="s">
        <v>74</v>
      </c>
      <c r="I9" s="169"/>
    </row>
    <row r="10" spans="1:9" ht="17.25">
      <c r="A10" s="56"/>
      <c r="B10" s="164" t="e">
        <f>#REF!+Лист1!G10+Лист1!J10+Лист1!M10+Лист1!D54+Лист1!G54+Лист1!J54+Лист1!M54+Лист1!D100+Лист1!G100+Лист1!J100+Лист1!M100+Лист1!D146+Лист1!#REF!+Лист1!J146+Лист1!M146</f>
        <v>#REF!</v>
      </c>
      <c r="C10" s="164"/>
      <c r="D10" s="164" t="e">
        <f>Лист1!K10+Лист1!E54+Лист1!H54+Лист1!K54+Лист1!N54+Лист1!E100+Лист1!H100+Лист1!K100+Лист1!N100+Лист1!E146+Лист1!#REF!+Лист1!K146+Лист1!N146</f>
        <v>#REF!</v>
      </c>
      <c r="E10" s="164"/>
      <c r="F10" s="164" t="e">
        <f>D10-B10</f>
        <v>#REF!</v>
      </c>
      <c r="G10" s="164"/>
      <c r="H10" s="164" t="e">
        <f>F10/B10*100</f>
        <v>#REF!</v>
      </c>
      <c r="I10" s="164"/>
    </row>
    <row r="11" spans="1:9" ht="18">
      <c r="A11" s="56"/>
      <c r="B11" s="166" t="e">
        <f>#REF!+Лист1!G13+Лист1!M13+Лист1!M103+Лист1!D149</f>
        <v>#REF!</v>
      </c>
      <c r="C11" s="166"/>
      <c r="D11" s="161" t="e">
        <f>Лист1!K12+Лист1!E56+Лист1!H56+Лист1!K56+Лист1!N56+Лист1!H102+Лист1!#REF!+Лист1!K148+Лист1!N148</f>
        <v>#VALUE!</v>
      </c>
      <c r="E11" s="161"/>
      <c r="F11" s="155"/>
      <c r="G11" s="155"/>
      <c r="H11" s="155"/>
      <c r="I11" s="155"/>
    </row>
    <row r="12" spans="1:9" ht="18">
      <c r="A12" s="56"/>
      <c r="B12" s="166" t="e">
        <f>Лист1!J12+Лист1!D56+Лист1!G56+Лист1!J56+Лист1!M56+Лист1!D102+Лист1!G102+Лист1!J102+Лист1!#REF!+Лист1!J148+Лист1!M148</f>
        <v>#VALUE!</v>
      </c>
      <c r="C12" s="166"/>
      <c r="D12" s="158" t="e">
        <f>D11-D13</f>
        <v>#VALUE!</v>
      </c>
      <c r="E12" s="158"/>
      <c r="F12" s="155" t="e">
        <f>D12+B13</f>
        <v>#VALUE!</v>
      </c>
      <c r="G12" s="155"/>
      <c r="H12" s="155" t="s">
        <v>61</v>
      </c>
      <c r="I12" s="155"/>
    </row>
    <row r="13" spans="1:9" ht="18">
      <c r="A13" s="56"/>
      <c r="B13" s="155" t="e">
        <f>B12-B11</f>
        <v>#VALUE!</v>
      </c>
      <c r="C13" s="155"/>
      <c r="D13" s="161" t="e">
        <f>Лист1!D13+Лист1!H13+Лист1!N13+Лист1!E103+Лист1!K103+Лист1!N103+Лист1!E149</f>
        <v>#VALUE!</v>
      </c>
      <c r="E13" s="161"/>
      <c r="F13" s="155"/>
      <c r="G13" s="155"/>
      <c r="H13" s="155" t="s">
        <v>61</v>
      </c>
      <c r="I13" s="155"/>
    </row>
    <row r="14" spans="1:9" ht="18">
      <c r="A14" s="56"/>
      <c r="B14" s="155"/>
      <c r="C14" s="155"/>
      <c r="D14" s="158"/>
      <c r="E14" s="158"/>
      <c r="F14" s="155"/>
      <c r="G14" s="155"/>
      <c r="H14" s="155"/>
      <c r="I14" s="155"/>
    </row>
    <row r="15" spans="1:9" ht="18">
      <c r="A15" s="56"/>
      <c r="B15" s="162" t="e">
        <f>#REF!+Лист1!G15+Лист1!J15+Лист1!M15+Лист1!D59+Лист1!G59+Лист1!J59+Лист1!M59+Лист1!D105+Лист1!G105+Лист1!J105+Лист1!M105+Лист1!D151+Лист1!#REF!+Лист1!J151+Лист1!M151</f>
        <v>#REF!</v>
      </c>
      <c r="C15" s="162"/>
      <c r="D15" s="158" t="e">
        <f>Лист1!D15+Лист1!H15+Лист1!K15+Лист1!N15+Лист1!E59+Лист1!H59+Лист1!K59+Лист1!N59+Лист1!E105+Лист1!H105+Лист1!K105+Лист1!N105+Лист1!E151+Лист1!#REF!+Лист1!K151+Лист1!N151</f>
        <v>#REF!</v>
      </c>
      <c r="E15" s="158"/>
      <c r="F15" s="155" t="e">
        <f aca="true" t="shared" si="0" ref="F15:F33">D15-B15</f>
        <v>#REF!</v>
      </c>
      <c r="G15" s="155"/>
      <c r="H15" s="155" t="e">
        <f aca="true" t="shared" si="1" ref="H15:H25">F15/B15*100</f>
        <v>#REF!</v>
      </c>
      <c r="I15" s="155"/>
    </row>
    <row r="16" spans="1:9" ht="18">
      <c r="A16" s="56"/>
      <c r="B16" s="162" t="e">
        <f>#REF!+Лист1!G16+Лист1!J16+Лист1!M16+Лист1!D60+Лист1!G60+Лист1!J60+Лист1!M60+Лист1!D106+Лист1!G106+Лист1!J106+Лист1!M106+Лист1!D152+Лист1!#REF!+Лист1!J152+Лист1!M152</f>
        <v>#REF!</v>
      </c>
      <c r="C16" s="162"/>
      <c r="D16" s="158" t="e">
        <f>Лист1!D16+Лист1!H16+Лист1!K16+Лист1!N16+Лист1!E60+Лист1!H60+Лист1!K60+Лист1!N60+Лист1!E106+Лист1!H106+Лист1!K106+Лист1!N106+Лист1!E152+Лист1!#REF!+Лист1!K152+Лист1!N152</f>
        <v>#REF!</v>
      </c>
      <c r="E16" s="158"/>
      <c r="F16" s="155" t="e">
        <f t="shared" si="0"/>
        <v>#REF!</v>
      </c>
      <c r="G16" s="155"/>
      <c r="H16" s="155" t="e">
        <f t="shared" si="1"/>
        <v>#REF!</v>
      </c>
      <c r="I16" s="155"/>
    </row>
    <row r="17" spans="1:9" ht="18">
      <c r="A17" s="56"/>
      <c r="B17" s="162" t="e">
        <f>#REF!+Лист1!G17+Лист1!J17+Лист1!M17+Лист1!D61+Лист1!G61+Лист1!J61+Лист1!M61+Лист1!D107+Лист1!G107+Лист1!J107+Лист1!M107+Лист1!D153+Лист1!#REF!+Лист1!J153+Лист1!M153</f>
        <v>#REF!</v>
      </c>
      <c r="C17" s="162"/>
      <c r="D17" s="158" t="e">
        <f>Лист1!D17+Лист1!H17+Лист1!K17+Лист1!N17+Лист1!E61+Лист1!H61+Лист1!K61+Лист1!N61+Лист1!E107+Лист1!H107+Лист1!K107+Лист1!N107+Лист1!E153+Лист1!#REF!+Лист1!K153+Лист1!N153</f>
        <v>#REF!</v>
      </c>
      <c r="E17" s="158"/>
      <c r="F17" s="155" t="e">
        <f t="shared" si="0"/>
        <v>#REF!</v>
      </c>
      <c r="G17" s="155"/>
      <c r="H17" s="155" t="e">
        <f t="shared" si="1"/>
        <v>#REF!</v>
      </c>
      <c r="I17" s="155"/>
    </row>
    <row r="18" spans="1:9" ht="18">
      <c r="A18" s="56"/>
      <c r="B18" s="162" t="e">
        <f>#REF!+Лист1!G18+Лист1!J18+Лист1!M18+Лист1!D62+Лист1!G62+Лист1!J62+Лист1!M62+Лист1!D108+Лист1!G108+Лист1!J108+Лист1!M108+Лист1!D154+Лист1!#REF!+Лист1!J154+Лист1!M154</f>
        <v>#REF!</v>
      </c>
      <c r="C18" s="162"/>
      <c r="D18" s="158" t="e">
        <f>Лист1!D18+Лист1!H18+Лист1!K18+Лист1!N18+Лист1!E62+Лист1!H62+Лист1!K62+Лист1!N62+Лист1!E108+Лист1!H108+Лист1!K108+Лист1!N108+Лист1!E154+Лист1!#REF!+Лист1!K154+Лист1!N154</f>
        <v>#REF!</v>
      </c>
      <c r="E18" s="158"/>
      <c r="F18" s="155" t="e">
        <f t="shared" si="0"/>
        <v>#REF!</v>
      </c>
      <c r="G18" s="155"/>
      <c r="H18" s="155" t="e">
        <f t="shared" si="1"/>
        <v>#REF!</v>
      </c>
      <c r="I18" s="155"/>
    </row>
    <row r="19" spans="1:9" ht="29.25" customHeight="1">
      <c r="A19" s="56"/>
      <c r="B19" s="162" t="e">
        <f>#REF!+Лист1!G19+Лист1!J19+Лист1!M19+Лист1!D63+Лист1!G63+Лист1!J63+Лист1!M63+Лист1!D109+Лист1!G109+Лист1!J109+Лист1!M109+Лист1!D155+Лист1!#REF!+Лист1!J155+Лист1!M155</f>
        <v>#REF!</v>
      </c>
      <c r="C19" s="162"/>
      <c r="D19" s="158" t="e">
        <f>Лист1!D19+Лист1!H19+Лист1!K19+Лист1!N19+Лист1!E63+Лист1!H63+Лист1!K63+Лист1!N63+Лист1!E109+Лист1!H109+Лист1!K109+Лист1!N109+Лист1!E155+Лист1!#REF!+Лист1!K155+Лист1!N155</f>
        <v>#REF!</v>
      </c>
      <c r="E19" s="158"/>
      <c r="F19" s="155" t="e">
        <f t="shared" si="0"/>
        <v>#REF!</v>
      </c>
      <c r="G19" s="155"/>
      <c r="H19" s="155" t="e">
        <f t="shared" si="1"/>
        <v>#REF!</v>
      </c>
      <c r="I19" s="155"/>
    </row>
    <row r="20" spans="1:9" ht="18">
      <c r="A20" s="56"/>
      <c r="B20" s="162" t="e">
        <f>#REF!+Лист1!G20+Лист1!J20+Лист1!M20+Лист1!D64+Лист1!G64+Лист1!J64+Лист1!M64+Лист1!D110+Лист1!G110+Лист1!J110+Лист1!M110+Лист1!D156+Лист1!#REF!+Лист1!J156+Лист1!M156</f>
        <v>#REF!</v>
      </c>
      <c r="C20" s="162"/>
      <c r="D20" s="158" t="e">
        <f>Лист1!D20+Лист1!H20+Лист1!K20+Лист1!N20+Лист1!E64+Лист1!H64+Лист1!K64+Лист1!N64+Лист1!E110+Лист1!H110+Лист1!K110+Лист1!N110+Лист1!E156+Лист1!#REF!+Лист1!K156+Лист1!N156</f>
        <v>#REF!</v>
      </c>
      <c r="E20" s="158"/>
      <c r="F20" s="155" t="e">
        <f t="shared" si="0"/>
        <v>#REF!</v>
      </c>
      <c r="G20" s="155"/>
      <c r="H20" s="155" t="e">
        <f t="shared" si="1"/>
        <v>#REF!</v>
      </c>
      <c r="I20" s="155"/>
    </row>
    <row r="21" spans="1:9" ht="18">
      <c r="A21" s="56"/>
      <c r="B21" s="162" t="e">
        <f>#REF!+Лист1!G21+Лист1!J21+Лист1!M21+Лист1!D65+Лист1!G65+Лист1!J65+Лист1!M65+Лист1!D111+Лист1!G111+Лист1!J111+Лист1!M111+Лист1!D157+Лист1!#REF!+Лист1!J157+Лист1!M157</f>
        <v>#REF!</v>
      </c>
      <c r="C21" s="162"/>
      <c r="D21" s="158" t="e">
        <f>Лист1!D21+Лист1!H21+Лист1!K21+Лист1!N21+Лист1!E65+Лист1!H65+Лист1!K65+Лист1!N65+Лист1!E111+Лист1!H111+Лист1!K111+Лист1!N111+Лист1!E157+Лист1!#REF!+Лист1!K157+Лист1!N157</f>
        <v>#REF!</v>
      </c>
      <c r="E21" s="158"/>
      <c r="F21" s="155" t="e">
        <f t="shared" si="0"/>
        <v>#REF!</v>
      </c>
      <c r="G21" s="155"/>
      <c r="H21" s="155" t="e">
        <f t="shared" si="1"/>
        <v>#REF!</v>
      </c>
      <c r="I21" s="155"/>
    </row>
    <row r="22" spans="1:9" ht="18">
      <c r="A22" s="56"/>
      <c r="B22" s="162" t="e">
        <f>#REF!+Лист1!G22+Лист1!J22+Лист1!M22+Лист1!D66+Лист1!G66+Лист1!J66+Лист1!M66+Лист1!D112+Лист1!G112+Лист1!J112+Лист1!M112+Лист1!D158+Лист1!#REF!+Лист1!J158+Лист1!M158</f>
        <v>#REF!</v>
      </c>
      <c r="C22" s="162"/>
      <c r="D22" s="158" t="e">
        <f>Лист1!D22+Лист1!H22+Лист1!K22+Лист1!N22+Лист1!E66+Лист1!H66+Лист1!K66+Лист1!N66+Лист1!E112+Лист1!H112+Лист1!K112+Лист1!N112+Лист1!E158+Лист1!#REF!+Лист1!K158+Лист1!N158</f>
        <v>#REF!</v>
      </c>
      <c r="E22" s="158"/>
      <c r="F22" s="155" t="e">
        <f t="shared" si="0"/>
        <v>#REF!</v>
      </c>
      <c r="G22" s="155"/>
      <c r="H22" s="155" t="e">
        <f t="shared" si="1"/>
        <v>#REF!</v>
      </c>
      <c r="I22" s="155"/>
    </row>
    <row r="23" spans="1:9" ht="18">
      <c r="A23" s="56"/>
      <c r="B23" s="162" t="e">
        <f>#REF!+Лист1!G23+Лист1!J23+Лист1!M23+Лист1!D67+Лист1!G67+Лист1!J67+Лист1!M67+Лист1!D113+Лист1!G113+Лист1!J113+Лист1!M113+Лист1!D159+Лист1!#REF!+Лист1!J159+Лист1!M159</f>
        <v>#REF!</v>
      </c>
      <c r="C23" s="162"/>
      <c r="D23" s="158" t="e">
        <f>Лист1!D23+Лист1!H23+Лист1!K23+Лист1!N23+Лист1!E67+Лист1!H67+Лист1!K67+Лист1!N67+Лист1!E113+Лист1!H113+Лист1!K113+Лист1!N113+Лист1!E159+Лист1!#REF!+Лист1!K159+Лист1!N159</f>
        <v>#REF!</v>
      </c>
      <c r="E23" s="158"/>
      <c r="F23" s="155" t="e">
        <f t="shared" si="0"/>
        <v>#REF!</v>
      </c>
      <c r="G23" s="155"/>
      <c r="H23" s="155" t="e">
        <f t="shared" si="1"/>
        <v>#REF!</v>
      </c>
      <c r="I23" s="155"/>
    </row>
    <row r="24" spans="1:9" ht="18">
      <c r="A24" s="56"/>
      <c r="B24" s="162" t="e">
        <f>#REF!+Лист1!G24+Лист1!J24+Лист1!M24+Лист1!D68+Лист1!G68+Лист1!J68+Лист1!M68+Лист1!D114+Лист1!G114+Лист1!J114+Лист1!M114+Лист1!D160+Лист1!#REF!+Лист1!J160+Лист1!M160</f>
        <v>#REF!</v>
      </c>
      <c r="C24" s="162"/>
      <c r="D24" s="158" t="e">
        <f>Лист1!D24+Лист1!H24+Лист1!K24+Лист1!N24+Лист1!E68+Лист1!H68+Лист1!K68+Лист1!N68+Лист1!E114+Лист1!H114+Лист1!K114+Лист1!N114+Лист1!E160+Лист1!#REF!+Лист1!K160+Лист1!N160</f>
        <v>#REF!</v>
      </c>
      <c r="E24" s="158"/>
      <c r="F24" s="155" t="e">
        <f t="shared" si="0"/>
        <v>#REF!</v>
      </c>
      <c r="G24" s="155"/>
      <c r="H24" s="155" t="e">
        <f t="shared" si="1"/>
        <v>#REF!</v>
      </c>
      <c r="I24" s="155"/>
    </row>
    <row r="25" spans="1:9" ht="18">
      <c r="A25" s="56"/>
      <c r="B25" s="162" t="e">
        <f>#REF!+Лист1!G25+Лист1!J25+Лист1!M25+Лист1!D69+Лист1!G69+Лист1!J69+Лист1!M69+Лист1!D115+Лист1!G115+Лист1!J115+Лист1!M115+Лист1!D161+Лист1!#REF!+Лист1!J161+Лист1!M161</f>
        <v>#REF!</v>
      </c>
      <c r="C25" s="162"/>
      <c r="D25" s="158" t="e">
        <f>Лист1!D25+Лист1!H25+Лист1!K25+Лист1!N25+Лист1!E69+Лист1!H69+Лист1!K69+Лист1!N69+Лист1!E115+Лист1!H115+Лист1!K115+Лист1!N115+Лист1!E161+Лист1!#REF!+Лист1!K161+Лист1!N161</f>
        <v>#REF!</v>
      </c>
      <c r="E25" s="158"/>
      <c r="F25" s="155" t="e">
        <f t="shared" si="0"/>
        <v>#REF!</v>
      </c>
      <c r="G25" s="155"/>
      <c r="H25" s="155" t="e">
        <f t="shared" si="1"/>
        <v>#REF!</v>
      </c>
      <c r="I25" s="155"/>
    </row>
    <row r="26" spans="1:9" ht="18">
      <c r="A26" s="56"/>
      <c r="B26" s="162" t="e">
        <f>#REF!+Лист1!G26+Лист1!J26+Лист1!M26+Лист1!D70+Лист1!G70+Лист1!J70+Лист1!M70+Лист1!D116+Лист1!G116+Лист1!J116+Лист1!M116+Лист1!D162+Лист1!#REF!+Лист1!J162+Лист1!M162</f>
        <v>#REF!</v>
      </c>
      <c r="C26" s="162"/>
      <c r="D26" s="158" t="e">
        <f>Лист1!D26+Лист1!H26+Лист1!K26+Лист1!N26+Лист1!E70+Лист1!H70+Лист1!K70+Лист1!N70+Лист1!E116+Лист1!H116+Лист1!K116+Лист1!N116+Лист1!E162+Лист1!#REF!+Лист1!K162+Лист1!N162</f>
        <v>#REF!</v>
      </c>
      <c r="E26" s="158"/>
      <c r="F26" s="155" t="e">
        <f t="shared" si="0"/>
        <v>#REF!</v>
      </c>
      <c r="G26" s="155"/>
      <c r="H26" s="155">
        <v>0</v>
      </c>
      <c r="I26" s="155"/>
    </row>
    <row r="27" spans="1:9" ht="18">
      <c r="A27" s="56"/>
      <c r="B27" s="162" t="e">
        <f>#REF!+Лист1!G27+Лист1!J27+Лист1!M27+Лист1!D71+Лист1!G71+Лист1!J71+Лист1!M71+Лист1!D117+Лист1!G117+Лист1!J117+Лист1!M117+Лист1!D163+Лист1!#REF!+Лист1!J163+Лист1!M163</f>
        <v>#REF!</v>
      </c>
      <c r="C27" s="162"/>
      <c r="D27" s="158" t="e">
        <f>Лист1!D27+Лист1!H27+Лист1!K27+Лист1!N27+Лист1!E71+Лист1!H71+Лист1!K71+Лист1!N71+Лист1!E117+Лист1!H117+Лист1!K117+Лист1!N117+Лист1!E163+Лист1!#REF!+Лист1!K163+Лист1!N163</f>
        <v>#REF!</v>
      </c>
      <c r="E27" s="158"/>
      <c r="F27" s="155" t="e">
        <f t="shared" si="0"/>
        <v>#REF!</v>
      </c>
      <c r="G27" s="155"/>
      <c r="H27" s="155" t="e">
        <f>F27/B27*100</f>
        <v>#REF!</v>
      </c>
      <c r="I27" s="155"/>
    </row>
    <row r="28" spans="1:9" ht="18">
      <c r="A28" s="56"/>
      <c r="B28" s="162" t="e">
        <f>#REF!+Лист1!G28+Лист1!J28+Лист1!M28+Лист1!D72+Лист1!G72+Лист1!J72+Лист1!M72+Лист1!D118+Лист1!G118+Лист1!J118+Лист1!M118+Лист1!D164+Лист1!#REF!+Лист1!J164+Лист1!M164</f>
        <v>#REF!</v>
      </c>
      <c r="C28" s="162"/>
      <c r="D28" s="158" t="e">
        <f>Лист1!D28+Лист1!H28+Лист1!K28+Лист1!N28+Лист1!E72+Лист1!H72+Лист1!K72+Лист1!N72+Лист1!E118+Лист1!H118+Лист1!K118+Лист1!N118+Лист1!E164+Лист1!#REF!+Лист1!K164+Лист1!N164</f>
        <v>#REF!</v>
      </c>
      <c r="E28" s="158"/>
      <c r="F28" s="155" t="e">
        <f t="shared" si="0"/>
        <v>#REF!</v>
      </c>
      <c r="G28" s="155"/>
      <c r="H28" s="155" t="e">
        <f>F28/B28*100</f>
        <v>#REF!</v>
      </c>
      <c r="I28" s="155"/>
    </row>
    <row r="29" spans="1:9" ht="18">
      <c r="A29" s="56"/>
      <c r="B29" s="162" t="e">
        <f>#REF!+Лист1!G29+Лист1!J29+Лист1!M29+Лист1!D73+Лист1!G73+Лист1!J73+Лист1!M73+Лист1!D119+Лист1!G119+Лист1!J119+Лист1!M119+Лист1!D165+Лист1!#REF!+Лист1!J165+Лист1!M165</f>
        <v>#REF!</v>
      </c>
      <c r="C29" s="162"/>
      <c r="D29" s="158" t="e">
        <f>Лист1!D29+Лист1!H29+Лист1!K29+Лист1!N29+Лист1!E73+Лист1!H73+Лист1!K73+Лист1!N73+Лист1!E119+Лист1!H119+Лист1!K119+Лист1!N119+Лист1!E165+Лист1!#REF!+Лист1!K165+Лист1!N165</f>
        <v>#REF!</v>
      </c>
      <c r="E29" s="158"/>
      <c r="F29" s="155" t="e">
        <f t="shared" si="0"/>
        <v>#REF!</v>
      </c>
      <c r="G29" s="155"/>
      <c r="H29" s="155">
        <v>0</v>
      </c>
      <c r="I29" s="155"/>
    </row>
    <row r="30" spans="1:9" ht="18">
      <c r="A30" s="56"/>
      <c r="B30" s="162" t="e">
        <f>#REF!+Лист1!G30+Лист1!J30+Лист1!M30+Лист1!D74+Лист1!G74+Лист1!J74+Лист1!M74+Лист1!D120+Лист1!G120+Лист1!J120+Лист1!M120+Лист1!D166+Лист1!#REF!+Лист1!J166+Лист1!M166</f>
        <v>#REF!</v>
      </c>
      <c r="C30" s="162"/>
      <c r="D30" s="158" t="e">
        <f>Лист1!D30+Лист1!H30+Лист1!K30+Лист1!N30+Лист1!E74+Лист1!H74+Лист1!K74+Лист1!N74+Лист1!E120+Лист1!H120+Лист1!K120+Лист1!N120+Лист1!E166+Лист1!#REF!+Лист1!K166+Лист1!N166</f>
        <v>#REF!</v>
      </c>
      <c r="E30" s="158"/>
      <c r="F30" s="155" t="e">
        <f t="shared" si="0"/>
        <v>#REF!</v>
      </c>
      <c r="G30" s="155"/>
      <c r="H30" s="155">
        <v>0</v>
      </c>
      <c r="I30" s="155"/>
    </row>
    <row r="31" spans="1:9" ht="18">
      <c r="A31" s="56"/>
      <c r="B31" s="162" t="e">
        <f>#REF!+Лист1!G31+Лист1!J31+Лист1!M31+Лист1!D75+Лист1!G75+Лист1!J75+Лист1!M75+Лист1!D121+Лист1!G121+Лист1!J121+Лист1!M121+Лист1!D167+Лист1!#REF!+Лист1!J167+Лист1!M167</f>
        <v>#REF!</v>
      </c>
      <c r="C31" s="162"/>
      <c r="D31" s="158" t="e">
        <f>Лист1!D31+Лист1!H31+Лист1!K31+Лист1!N31+Лист1!E75+Лист1!H75+Лист1!K75+Лист1!N75+Лист1!E121+Лист1!H121+Лист1!K121+Лист1!N121+Лист1!E167+Лист1!#REF!+Лист1!K167+Лист1!N167</f>
        <v>#REF!</v>
      </c>
      <c r="E31" s="158"/>
      <c r="F31" s="155" t="e">
        <f t="shared" si="0"/>
        <v>#REF!</v>
      </c>
      <c r="G31" s="155"/>
      <c r="H31" s="155" t="e">
        <f>F31/B31*100</f>
        <v>#REF!</v>
      </c>
      <c r="I31" s="155"/>
    </row>
    <row r="32" spans="1:9" ht="18">
      <c r="A32" s="56"/>
      <c r="B32" s="162" t="e">
        <f>#REF!+Лист1!G32+Лист1!J32+Лист1!M32+Лист1!D76+Лист1!G76+Лист1!J76+Лист1!M76+Лист1!D122+Лист1!G122+Лист1!J122+Лист1!M122+Лист1!D168+Лист1!#REF!+Лист1!J168+Лист1!M168</f>
        <v>#REF!</v>
      </c>
      <c r="C32" s="162"/>
      <c r="D32" s="158" t="e">
        <f>Лист1!D32+Лист1!H32+Лист1!K32+Лист1!N32+Лист1!E76+Лист1!H76+Лист1!K76+Лист1!N76+Лист1!E122+Лист1!H122+Лист1!K122+Лист1!N122+Лист1!E168+Лист1!#REF!+Лист1!K168+Лист1!N168</f>
        <v>#REF!</v>
      </c>
      <c r="E32" s="158"/>
      <c r="F32" s="155" t="e">
        <f t="shared" si="0"/>
        <v>#REF!</v>
      </c>
      <c r="G32" s="155"/>
      <c r="H32" s="155" t="e">
        <f>F32/B32*100</f>
        <v>#REF!</v>
      </c>
      <c r="I32" s="155"/>
    </row>
    <row r="33" spans="1:9" ht="18">
      <c r="A33" s="56"/>
      <c r="B33" s="162" t="e">
        <f>#REF!+Лист1!G33+Лист1!J33+Лист1!M33+Лист1!D77+Лист1!G77+Лист1!J77+Лист1!M77+Лист1!D123+Лист1!G123+Лист1!J123+Лист1!M123+Лист1!D169+Лист1!#REF!+Лист1!J169+Лист1!M169</f>
        <v>#REF!</v>
      </c>
      <c r="C33" s="162"/>
      <c r="D33" s="158" t="e">
        <f>Лист1!D33+Лист1!H33+Лист1!K33+Лист1!N33+Лист1!E77+Лист1!H77+Лист1!K77+Лист1!N77+Лист1!E123+Лист1!H123+Лист1!K123+Лист1!N123+Лист1!E169+Лист1!#REF!+Лист1!K169+Лист1!N169</f>
        <v>#REF!</v>
      </c>
      <c r="E33" s="158"/>
      <c r="F33" s="155" t="e">
        <f t="shared" si="0"/>
        <v>#REF!</v>
      </c>
      <c r="G33" s="155"/>
      <c r="H33" s="155" t="e">
        <f>F33/B33*100</f>
        <v>#REF!</v>
      </c>
      <c r="I33" s="155"/>
    </row>
    <row r="34" spans="1:9" ht="18">
      <c r="A34" s="56"/>
      <c r="B34" s="162"/>
      <c r="C34" s="162"/>
      <c r="D34" s="158"/>
      <c r="E34" s="158"/>
      <c r="F34" s="155"/>
      <c r="G34" s="155"/>
      <c r="H34" s="155"/>
      <c r="I34" s="155"/>
    </row>
    <row r="35" spans="1:9" ht="18">
      <c r="A35" s="56"/>
      <c r="B35" s="162" t="e">
        <f>#REF!+Лист1!G35+Лист1!J35+Лист1!M35+Лист1!D79+Лист1!G79+Лист1!J79+Лист1!M79+Лист1!D125+Лист1!G125+Лист1!J125+Лист1!M125+Лист1!D171+Лист1!#REF!+Лист1!J171+Лист1!M171</f>
        <v>#REF!</v>
      </c>
      <c r="C35" s="162"/>
      <c r="D35" s="158" t="e">
        <f>Лист1!D35+Лист1!H35+Лист1!K35+Лист1!N35+Лист1!E79+Лист1!H79+Лист1!K79+Лист1!N79+Лист1!E125+Лист1!H125+Лист1!K125+Лист1!N125+Лист1!E171+Лист1!#REF!+Лист1!K171+Лист1!N171</f>
        <v>#REF!</v>
      </c>
      <c r="E35" s="158"/>
      <c r="F35" s="155" t="e">
        <f aca="true" t="shared" si="2" ref="F35:F45">D35-B35</f>
        <v>#REF!</v>
      </c>
      <c r="G35" s="155"/>
      <c r="H35" s="155" t="e">
        <f>F35/B35*100</f>
        <v>#REF!</v>
      </c>
      <c r="I35" s="155"/>
    </row>
    <row r="36" spans="1:9" ht="18">
      <c r="A36" s="56"/>
      <c r="B36" s="162" t="e">
        <f>#REF!+Лист1!G36+Лист1!J36+Лист1!M36+Лист1!D80+Лист1!G80+Лист1!J80+Лист1!M80+Лист1!D126+Лист1!G126+Лист1!J126+Лист1!M126+Лист1!D172+Лист1!#REF!+Лист1!J172+Лист1!M172</f>
        <v>#REF!</v>
      </c>
      <c r="C36" s="162"/>
      <c r="D36" s="158" t="e">
        <f>Лист1!D36+Лист1!H36+Лист1!K36+Лист1!N36+Лист1!E80+Лист1!H80+Лист1!K80+Лист1!N80+Лист1!E126+Лист1!H126+Лист1!K126+Лист1!N126+Лист1!E172+Лист1!#REF!+Лист1!K172+Лист1!N172</f>
        <v>#REF!</v>
      </c>
      <c r="E36" s="158"/>
      <c r="F36" s="155" t="e">
        <f t="shared" si="2"/>
        <v>#REF!</v>
      </c>
      <c r="G36" s="155"/>
      <c r="H36" s="155" t="e">
        <f>F36/B36*100</f>
        <v>#REF!</v>
      </c>
      <c r="I36" s="155"/>
    </row>
    <row r="37" spans="1:9" ht="18">
      <c r="A37" s="56"/>
      <c r="B37" s="162" t="e">
        <f>#REF!+Лист1!G37+Лист1!J37+Лист1!M37+Лист1!D81+Лист1!G81+Лист1!J81+Лист1!M81+Лист1!D127+Лист1!G127+Лист1!J127+Лист1!M127+Лист1!D173+Лист1!#REF!+Лист1!J173+Лист1!M173</f>
        <v>#REF!</v>
      </c>
      <c r="C37" s="162"/>
      <c r="D37" s="158" t="e">
        <f>Лист1!D37+Лист1!H37+Лист1!K37+Лист1!N37+Лист1!E81+Лист1!H81+Лист1!K81+Лист1!N81+Лист1!E127+Лист1!H127+Лист1!K127+Лист1!N127+Лист1!E173+Лист1!#REF!+Лист1!K173+Лист1!N173</f>
        <v>#REF!</v>
      </c>
      <c r="E37" s="158"/>
      <c r="F37" s="155" t="e">
        <f t="shared" si="2"/>
        <v>#REF!</v>
      </c>
      <c r="G37" s="155"/>
      <c r="H37" s="155">
        <v>0</v>
      </c>
      <c r="I37" s="155"/>
    </row>
    <row r="38" spans="1:9" ht="18">
      <c r="A38" s="56"/>
      <c r="B38" s="162" t="e">
        <f>#REF!+Лист1!G38+Лист1!J38+Лист1!M38+Лист1!D82+Лист1!G82+Лист1!J82+Лист1!M82+Лист1!D128+Лист1!G128+Лист1!J128+Лист1!M128+Лист1!D174+Лист1!#REF!+Лист1!J174+Лист1!M174</f>
        <v>#REF!</v>
      </c>
      <c r="C38" s="162"/>
      <c r="D38" s="158" t="e">
        <f>Лист1!D38+Лист1!H38+Лист1!K38+Лист1!N38+Лист1!E82+Лист1!H82+Лист1!K82+Лист1!N82+Лист1!E128+Лист1!H128+Лист1!K128+Лист1!N128+Лист1!E174+Лист1!#REF!+Лист1!K174+Лист1!N174</f>
        <v>#REF!</v>
      </c>
      <c r="E38" s="158"/>
      <c r="F38" s="155" t="e">
        <f t="shared" si="2"/>
        <v>#REF!</v>
      </c>
      <c r="G38" s="155"/>
      <c r="H38" s="155" t="e">
        <f>F38/B38*100</f>
        <v>#REF!</v>
      </c>
      <c r="I38" s="155"/>
    </row>
    <row r="39" spans="1:9" ht="18">
      <c r="A39" s="56"/>
      <c r="B39" s="162" t="e">
        <f>#REF!+Лист1!G39+Лист1!J39+Лист1!M39+Лист1!D83+Лист1!G83+Лист1!J83+Лист1!M83+Лист1!D129+Лист1!G129+Лист1!J129+Лист1!M129+Лист1!D175+Лист1!#REF!+Лист1!J175+Лист1!M175</f>
        <v>#REF!</v>
      </c>
      <c r="C39" s="162"/>
      <c r="D39" s="158" t="e">
        <f>Лист1!D39+Лист1!H39+Лист1!K39+Лист1!N39+Лист1!E83+Лист1!H83+Лист1!K83+Лист1!N83+Лист1!E129+Лист1!H129+Лист1!K129+Лист1!N129+Лист1!E175+Лист1!#REF!+Лист1!K175+Лист1!N175</f>
        <v>#REF!</v>
      </c>
      <c r="E39" s="158"/>
      <c r="F39" s="155" t="e">
        <f t="shared" si="2"/>
        <v>#REF!</v>
      </c>
      <c r="G39" s="155"/>
      <c r="H39" s="155" t="e">
        <f>F39/B39*100</f>
        <v>#REF!</v>
      </c>
      <c r="I39" s="155"/>
    </row>
    <row r="40" spans="1:9" ht="18">
      <c r="A40" s="56"/>
      <c r="B40" s="162" t="e">
        <f>#REF!+Лист1!G40+Лист1!J40+Лист1!M40+Лист1!D84+Лист1!G84+Лист1!J84+Лист1!M84+Лист1!D130+Лист1!G130+Лист1!J130+Лист1!M130+Лист1!D176+Лист1!#REF!+Лист1!J176+Лист1!M176</f>
        <v>#REF!</v>
      </c>
      <c r="C40" s="162"/>
      <c r="D40" s="158" t="e">
        <f>Лист1!D40+Лист1!H40+Лист1!K40+Лист1!N40+Лист1!E84+Лист1!H84+Лист1!K84+Лист1!N84+Лист1!E130+Лист1!H130+Лист1!K130+Лист1!N130+Лист1!E176+Лист1!#REF!+Лист1!K176+Лист1!N176</f>
        <v>#REF!</v>
      </c>
      <c r="E40" s="158"/>
      <c r="F40" s="155" t="e">
        <f t="shared" si="2"/>
        <v>#REF!</v>
      </c>
      <c r="G40" s="155"/>
      <c r="H40" s="155">
        <v>0</v>
      </c>
      <c r="I40" s="155"/>
    </row>
    <row r="41" spans="1:9" ht="18">
      <c r="A41" s="56"/>
      <c r="B41" s="162" t="e">
        <f>#REF!+Лист1!G41+Лист1!J41+Лист1!M41+Лист1!D85+Лист1!G85+Лист1!J85+Лист1!M85+Лист1!D131+Лист1!G131+Лист1!J131+Лист1!M131+Лист1!D177+Лист1!#REF!+Лист1!J177+Лист1!M177</f>
        <v>#REF!</v>
      </c>
      <c r="C41" s="162"/>
      <c r="D41" s="158" t="e">
        <f>Лист1!D41+Лист1!H41+Лист1!K41+Лист1!N41+Лист1!E85+Лист1!H85+Лист1!K85+Лист1!N85+Лист1!E131+Лист1!H131+Лист1!K131+Лист1!N131+Лист1!E177+Лист1!#REF!+Лист1!K177+Лист1!N177</f>
        <v>#REF!</v>
      </c>
      <c r="E41" s="158"/>
      <c r="F41" s="155" t="e">
        <f t="shared" si="2"/>
        <v>#REF!</v>
      </c>
      <c r="G41" s="155"/>
      <c r="H41" s="155" t="e">
        <f>F41/B41*100</f>
        <v>#REF!</v>
      </c>
      <c r="I41" s="155"/>
    </row>
    <row r="42" spans="1:9" ht="18">
      <c r="A42" s="56"/>
      <c r="B42" s="162" t="e">
        <f>#REF!+Лист1!G42+Лист1!J42+Лист1!M42+Лист1!D86+Лист1!G86+Лист1!J86+Лист1!M86+Лист1!D132+Лист1!G132+Лист1!J132+Лист1!M132+Лист1!D178+Лист1!#REF!+Лист1!J178+Лист1!M178</f>
        <v>#REF!</v>
      </c>
      <c r="C42" s="162"/>
      <c r="D42" s="158" t="e">
        <f>Лист1!D42+Лист1!H42+Лист1!K42+Лист1!N42+Лист1!E86+Лист1!H86+Лист1!K86+Лист1!N86+Лист1!E132+Лист1!H132+Лист1!K132+Лист1!N132+Лист1!E178+Лист1!#REF!+Лист1!K178+Лист1!N178</f>
        <v>#REF!</v>
      </c>
      <c r="E42" s="158"/>
      <c r="F42" s="155" t="e">
        <f t="shared" si="2"/>
        <v>#REF!</v>
      </c>
      <c r="G42" s="155"/>
      <c r="H42" s="155" t="e">
        <f>F42/B42*100</f>
        <v>#REF!</v>
      </c>
      <c r="I42" s="155"/>
    </row>
    <row r="43" spans="1:9" ht="18">
      <c r="A43" s="56"/>
      <c r="B43" s="165" t="e">
        <f>#REF!+Лист1!G43+Лист1!J43+Лист1!M43+Лист1!D87+Лист1!G87+Лист1!J87+Лист1!M87+Лист1!D133+Лист1!G133+Лист1!J133+Лист1!M133+Лист1!D179+Лист1!#REF!+Лист1!J179+Лист1!M179</f>
        <v>#REF!</v>
      </c>
      <c r="C43" s="165"/>
      <c r="D43" s="160" t="e">
        <f>Лист1!D43+Лист1!H43+Лист1!K43+Лист1!N43+Лист1!E87+Лист1!H87+Лист1!K87+Лист1!N87+Лист1!E133+Лист1!H133+Лист1!K133+Лист1!N133+Лист1!E179+Лист1!#REF!+Лист1!K179+Лист1!N179</f>
        <v>#REF!</v>
      </c>
      <c r="E43" s="160"/>
      <c r="F43" s="157" t="e">
        <f t="shared" si="2"/>
        <v>#REF!</v>
      </c>
      <c r="G43" s="157"/>
      <c r="H43" s="155" t="e">
        <f>F43/B43*100</f>
        <v>#REF!</v>
      </c>
      <c r="I43" s="155"/>
    </row>
    <row r="44" spans="1:9" ht="18" hidden="1">
      <c r="A44" s="56"/>
      <c r="B44" s="165" t="e">
        <f>#REF!+Лист1!G44+Лист1!J44+Лист1!M44+Лист1!D88+Лист1!G88+Лист1!J88+Лист1!M88+Лист1!D134+Лист1!G134+Лист1!J134+Лист1!M134+Лист1!D180+Лист1!#REF!+Лист1!J180+Лист1!M180</f>
        <v>#REF!</v>
      </c>
      <c r="C44" s="165"/>
      <c r="D44" s="160" t="e">
        <f>Лист1!D44+Лист1!H44+Лист1!K44+Лист1!N44+Лист1!E88+Лист1!H88+Лист1!K88+Лист1!N88+Лист1!E134+Лист1!H134+Лист1!K134+Лист1!N134+Лист1!E180+Лист1!#REF!+Лист1!K180+Лист1!N180</f>
        <v>#REF!</v>
      </c>
      <c r="E44" s="160"/>
      <c r="F44" s="157" t="e">
        <f t="shared" si="2"/>
        <v>#REF!</v>
      </c>
      <c r="G44" s="157"/>
      <c r="H44" s="155" t="e">
        <f>F44/B44*100</f>
        <v>#REF!</v>
      </c>
      <c r="I44" s="155"/>
    </row>
    <row r="45" spans="1:9" ht="18" hidden="1">
      <c r="A45" s="56"/>
      <c r="B45" s="162" t="e">
        <f>#REF!+Лист1!G45+Лист1!J45+Лист1!M45+Лист1!D89+Лист1!G89+Лист1!J89+Лист1!M89+Лист1!D137+Лист1!G135+Лист1!J135+Лист1!M135+Лист1!D181+Лист1!#REF!+Лист1!J181+Лист1!M181</f>
        <v>#REF!</v>
      </c>
      <c r="C45" s="162"/>
      <c r="D45" s="158" t="e">
        <f>Лист1!D45+Лист1!H45+Лист1!K45+Лист1!N45+Лист1!E89+Лист1!H89+Лист1!K89+Лист1!N89+Лист1!E137+Лист1!H135+Лист1!K135+Лист1!N135+Лист1!E181+Лист1!#REF!+Лист1!K181+Лист1!N181</f>
        <v>#REF!</v>
      </c>
      <c r="E45" s="158"/>
      <c r="F45" s="155" t="e">
        <f t="shared" si="2"/>
        <v>#REF!</v>
      </c>
      <c r="G45" s="155"/>
      <c r="H45" s="155" t="e">
        <f>F45/B45*100</f>
        <v>#REF!</v>
      </c>
      <c r="I45" s="155"/>
    </row>
    <row r="46" spans="1:9" ht="9" customHeight="1">
      <c r="A46" s="63"/>
      <c r="B46" s="162"/>
      <c r="C46" s="162"/>
      <c r="D46" s="158"/>
      <c r="E46" s="158"/>
      <c r="F46" s="155"/>
      <c r="G46" s="155"/>
      <c r="H46" s="155"/>
      <c r="I46" s="155"/>
    </row>
    <row r="47" spans="1:9" ht="18">
      <c r="A47" s="63"/>
      <c r="B47" s="162" t="e">
        <f>(#REF!+Лист1!G47+Лист1!J47+Лист1!M47+Лист1!D91+Лист1!G91+Лист1!J91+Лист1!M91+#REF!+Лист1!G137+Лист1!J137+Лист1!M137+Лист1!D183+Лист1!#REF!+Лист1!J183+Лист1!M183)/16</f>
        <v>#REF!</v>
      </c>
      <c r="C47" s="162"/>
      <c r="D47" s="158" t="e">
        <f>(Лист1!D47+Лист1!H47+Лист1!K47+Лист1!N47+Лист1!E91+Лист1!H91+Лист1!K91+Лист1!N91+#REF!+Лист1!H137+Лист1!K137+Лист1!N137+Лист1!E183+Лист1!#REF!+Лист1!K183+Лист1!N183)/16</f>
        <v>#REF!</v>
      </c>
      <c r="E47" s="158"/>
      <c r="F47" s="155" t="e">
        <f>D47-B47</f>
        <v>#REF!</v>
      </c>
      <c r="G47" s="155"/>
      <c r="H47" s="155" t="e">
        <f>F47/B47*100</f>
        <v>#REF!</v>
      </c>
      <c r="I47" s="155"/>
    </row>
    <row r="48" spans="1:9" ht="18">
      <c r="A48" s="63"/>
      <c r="B48" s="162" t="e">
        <f>(#REF!+Лист1!G48+Лист1!J48+Лист1!M48+Лист1!D92+Лист1!G92+Лист1!J92+Лист1!M92+Лист1!D138+Лист1!G138+Лист1!J138+Лист1!M138+Лист1!D184+Лист1!#REF!+Лист1!J184+Лист1!M184)/16</f>
        <v>#REF!</v>
      </c>
      <c r="C48" s="162"/>
      <c r="D48" s="158" t="e">
        <f>(Лист1!D48+Лист1!H48+Лист1!K48+Лист1!N48+Лист1!E92+Лист1!H92+Лист1!K92+Лист1!N92+Лист1!E138+Лист1!H138+Лист1!K138+Лист1!N138+Лист1!E184+Лист1!#REF!+Лист1!K184+Лист1!N184)/16</f>
        <v>#REF!</v>
      </c>
      <c r="E48" s="158"/>
      <c r="F48" s="155" t="e">
        <f>D48-B48</f>
        <v>#REF!</v>
      </c>
      <c r="G48" s="155"/>
      <c r="H48" s="155" t="e">
        <f>F48/B48*100</f>
        <v>#REF!</v>
      </c>
      <c r="I48" s="155"/>
    </row>
    <row r="49" spans="1:9" ht="18">
      <c r="A49" s="63"/>
      <c r="B49" s="162">
        <v>0</v>
      </c>
      <c r="C49" s="162"/>
      <c r="D49" s="158" t="e">
        <f>D12/D10*100</f>
        <v>#VALUE!</v>
      </c>
      <c r="E49" s="158"/>
      <c r="F49" s="155"/>
      <c r="G49" s="155"/>
      <c r="H49" s="155"/>
      <c r="I49" s="155"/>
    </row>
    <row r="50" spans="1:9" ht="18">
      <c r="A50" s="25"/>
      <c r="B50" s="163"/>
      <c r="C50" s="163"/>
      <c r="D50" s="159"/>
      <c r="E50" s="159"/>
      <c r="F50" s="156"/>
      <c r="G50" s="156"/>
      <c r="H50" s="156"/>
      <c r="I50" s="156"/>
    </row>
    <row r="51" spans="1:7" ht="18">
      <c r="A51" s="64"/>
      <c r="B51" s="64"/>
      <c r="C51" s="64"/>
      <c r="D51" s="64"/>
      <c r="E51" s="64"/>
      <c r="F51" s="64"/>
      <c r="G51" s="20"/>
    </row>
    <row r="52" spans="1:7" ht="18">
      <c r="A52" s="64"/>
      <c r="B52" s="64"/>
      <c r="C52" s="64"/>
      <c r="D52" s="64"/>
      <c r="E52" s="64"/>
      <c r="F52" s="64"/>
      <c r="G52" s="20"/>
    </row>
    <row r="53" spans="1:7" ht="18">
      <c r="A53" s="64"/>
      <c r="B53" s="64"/>
      <c r="C53" s="64"/>
      <c r="D53" s="64"/>
      <c r="E53" s="64"/>
      <c r="F53" s="64"/>
      <c r="G53" s="20"/>
    </row>
    <row r="54" spans="1:7" ht="18">
      <c r="A54" s="64"/>
      <c r="B54" s="64"/>
      <c r="C54" s="64"/>
      <c r="D54" s="64"/>
      <c r="E54" s="64"/>
      <c r="F54" s="64"/>
      <c r="G54" s="20"/>
    </row>
    <row r="55" spans="1:7" ht="18">
      <c r="A55" s="64"/>
      <c r="B55" s="64"/>
      <c r="C55" s="64"/>
      <c r="D55" s="64"/>
      <c r="E55" s="64"/>
      <c r="F55" s="64"/>
      <c r="G55" s="20"/>
    </row>
    <row r="56" spans="1:7" ht="18">
      <c r="A56" s="64"/>
      <c r="B56" s="64"/>
      <c r="C56" s="64"/>
      <c r="D56" s="64"/>
      <c r="E56" s="64"/>
      <c r="F56" s="64"/>
      <c r="G56" s="20"/>
    </row>
    <row r="57" spans="1:7" ht="18">
      <c r="A57" s="64"/>
      <c r="B57" s="64"/>
      <c r="C57" s="64"/>
      <c r="D57" s="64"/>
      <c r="E57" s="64"/>
      <c r="F57" s="64"/>
      <c r="G57" s="20"/>
    </row>
    <row r="58" spans="1:7" ht="18">
      <c r="A58" s="64"/>
      <c r="B58" s="64"/>
      <c r="C58" s="64"/>
      <c r="D58" s="64"/>
      <c r="E58" s="64"/>
      <c r="F58" s="64"/>
      <c r="G58" s="20"/>
    </row>
    <row r="59" spans="1:7" ht="18">
      <c r="A59" s="64"/>
      <c r="B59" s="64"/>
      <c r="C59" s="64"/>
      <c r="D59" s="64"/>
      <c r="E59" s="64"/>
      <c r="F59" s="64"/>
      <c r="G59" s="20"/>
    </row>
    <row r="60" spans="1:7" ht="18">
      <c r="A60" s="64"/>
      <c r="B60" s="64"/>
      <c r="C60" s="64"/>
      <c r="D60" s="64"/>
      <c r="E60" s="64"/>
      <c r="F60" s="64"/>
      <c r="G60" s="20"/>
    </row>
    <row r="61" spans="1:7" ht="18">
      <c r="A61" s="64"/>
      <c r="B61" s="64"/>
      <c r="C61" s="64"/>
      <c r="D61" s="64"/>
      <c r="E61" s="64"/>
      <c r="F61" s="64"/>
      <c r="G61" s="20"/>
    </row>
    <row r="62" spans="1:7" ht="18">
      <c r="A62" s="64"/>
      <c r="B62" s="64"/>
      <c r="C62" s="64"/>
      <c r="D62" s="64"/>
      <c r="E62" s="64"/>
      <c r="F62" s="64"/>
      <c r="G62" s="20"/>
    </row>
    <row r="63" spans="1:7" ht="18">
      <c r="A63" s="64"/>
      <c r="B63" s="64"/>
      <c r="C63" s="64"/>
      <c r="D63" s="64"/>
      <c r="E63" s="64"/>
      <c r="F63" s="64"/>
      <c r="G63" s="20"/>
    </row>
    <row r="64" spans="1:7" ht="18">
      <c r="A64" s="64"/>
      <c r="B64" s="64"/>
      <c r="C64" s="64"/>
      <c r="D64" s="64"/>
      <c r="E64" s="64"/>
      <c r="F64" s="64"/>
      <c r="G64" s="20"/>
    </row>
    <row r="65" spans="1:7" ht="18">
      <c r="A65" s="64"/>
      <c r="B65" s="64"/>
      <c r="C65" s="64"/>
      <c r="D65" s="64"/>
      <c r="E65" s="64"/>
      <c r="F65" s="64"/>
      <c r="G65" s="20"/>
    </row>
    <row r="66" spans="1:7" ht="18">
      <c r="A66" s="64"/>
      <c r="B66" s="64"/>
      <c r="C66" s="64"/>
      <c r="D66" s="64"/>
      <c r="E66" s="64"/>
      <c r="F66" s="64"/>
      <c r="G66" s="20"/>
    </row>
    <row r="67" spans="1:6" ht="18">
      <c r="A67" s="13"/>
      <c r="B67" s="13"/>
      <c r="C67" s="13"/>
      <c r="D67" s="13"/>
      <c r="E67" s="13"/>
      <c r="F67" s="13"/>
    </row>
    <row r="68" spans="1:6" ht="18">
      <c r="A68" s="13"/>
      <c r="B68" s="13"/>
      <c r="C68" s="13"/>
      <c r="D68" s="13"/>
      <c r="E68" s="13"/>
      <c r="F68" s="13"/>
    </row>
  </sheetData>
  <sheetProtection/>
  <mergeCells count="177">
    <mergeCell ref="B8:I8"/>
    <mergeCell ref="B9:C9"/>
    <mergeCell ref="D9:E9"/>
    <mergeCell ref="F9:G9"/>
    <mergeCell ref="H9:I9"/>
    <mergeCell ref="B10:C10"/>
    <mergeCell ref="F10:G10"/>
    <mergeCell ref="H10:I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D10:E10"/>
    <mergeCell ref="D11:E11"/>
    <mergeCell ref="D14:E14"/>
    <mergeCell ref="D19:E19"/>
    <mergeCell ref="D20:E20"/>
    <mergeCell ref="D21:E21"/>
    <mergeCell ref="F11:G11"/>
    <mergeCell ref="H11:I11"/>
    <mergeCell ref="F12:G12"/>
    <mergeCell ref="D12:E12"/>
    <mergeCell ref="H12:I12"/>
    <mergeCell ref="D13:E13"/>
    <mergeCell ref="F13:G13"/>
    <mergeCell ref="H13:I13"/>
    <mergeCell ref="F14:G14"/>
    <mergeCell ref="H14:I14"/>
    <mergeCell ref="D15:E15"/>
    <mergeCell ref="D16:E16"/>
    <mergeCell ref="D17:E17"/>
    <mergeCell ref="D18:E18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8:I48"/>
    <mergeCell ref="H49:I49"/>
    <mergeCell ref="H50:I50"/>
    <mergeCell ref="H42:I42"/>
    <mergeCell ref="H43:I43"/>
    <mergeCell ref="H44:I44"/>
    <mergeCell ref="H45:I45"/>
    <mergeCell ref="H46:I46"/>
    <mergeCell ref="H47:I47"/>
    <mergeCell ref="E3:E4"/>
    <mergeCell ref="A1:F1"/>
    <mergeCell ref="A2:F2"/>
    <mergeCell ref="F3:G3"/>
    <mergeCell ref="D3:D4"/>
    <mergeCell ref="A3:A4"/>
    <mergeCell ref="B3:B4"/>
    <mergeCell ref="C3:C4"/>
  </mergeCells>
  <printOptions/>
  <pageMargins left="0.5118110236220472" right="0.5118110236220472" top="0.5511811023622047" bottom="0.5511811023622047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2019-06-19T05:41:39Z</dcterms:modified>
  <cp:category/>
  <cp:version/>
  <cp:contentType/>
  <cp:contentStatus/>
</cp:coreProperties>
</file>